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295" windowWidth="20730" windowHeight="6675" tabRatio="817" firstSheet="1" activeTab="2"/>
  </bookViews>
  <sheets>
    <sheet name="XXXX" sheetId="1" state="veryHidden" r:id="rId1"/>
    <sheet name="표지" sheetId="2" r:id="rId2"/>
    <sheet name="적용기준-전체 " sheetId="3" r:id="rId3"/>
    <sheet name="최종단가산출" sheetId="4" r:id="rId4"/>
    <sheet name="참고자료-안정화재" sheetId="5" r:id="rId5"/>
    <sheet name="단가산출근거" sheetId="6" r:id="rId6"/>
    <sheet name="등재사항" sheetId="7" r:id="rId7"/>
  </sheets>
  <externalReferences>
    <externalReference r:id="rId10"/>
  </externalReferences>
  <definedNames>
    <definedName name="_xlnm.Print_Area" localSheetId="3">'최종단가산출'!$A$1:$M$287</definedName>
    <definedName name="_xlnm.Print_Titles" localSheetId="4">'참고자료-안정화재'!$1:$2</definedName>
    <definedName name="_xlnm.Print_Titles" localSheetId="3">'최종단가산출'!$1:$2</definedName>
  </definedNames>
  <calcPr fullCalcOnLoad="1"/>
</workbook>
</file>

<file path=xl/sharedStrings.xml><?xml version="1.0" encoding="utf-8"?>
<sst xmlns="http://schemas.openxmlformats.org/spreadsheetml/2006/main" count="939" uniqueCount="260">
  <si>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</si>
  <si>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</si>
  <si>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</si>
  <si>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</si>
  <si>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</si>
  <si>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</si>
  <si>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</si>
  <si>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</si>
  <si>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</si>
  <si>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</si>
  <si>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</si>
  <si>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</si>
  <si>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</si>
  <si>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</si>
  <si>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</si>
  <si>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</si>
  <si>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</si>
  <si>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</si>
  <si>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</si>
  <si>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</si>
  <si>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</si>
  <si>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</si>
  <si>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</si>
  <si>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</si>
  <si>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</si>
  <si>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</si>
  <si>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</si>
  <si>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</si>
  <si>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</si>
  <si>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</si>
  <si>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</si>
  <si>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</si>
  <si>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</si>
  <si>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</si>
  <si>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</si>
  <si>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</si>
  <si>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</si>
  <si>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</si>
  <si>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</si>
  <si>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</si>
  <si>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</si>
  <si>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</si>
  <si>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</si>
  <si>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</si>
  <si>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 xml:space="preserve"> </t>
  </si>
  <si>
    <t>덤프트럭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</si>
  <si>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</si>
  <si>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</si>
  <si>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</si>
  <si>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</si>
  <si>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천연섬유망</t>
  </si>
  <si>
    <t>고정핀</t>
  </si>
  <si>
    <t>EA</t>
  </si>
  <si>
    <t>특별인부</t>
  </si>
  <si>
    <t>인</t>
  </si>
  <si>
    <t>보통인부</t>
  </si>
  <si>
    <t>잡재료비</t>
  </si>
  <si>
    <t>재료비의 3%</t>
  </si>
  <si>
    <t>식</t>
  </si>
  <si>
    <t>천연섬유NET</t>
  </si>
  <si>
    <t>φ 5 X 30 X 30</t>
  </si>
  <si>
    <t>작업반장</t>
  </si>
  <si>
    <t>φ 1 X 100 X 100</t>
  </si>
  <si>
    <t>M2</t>
  </si>
  <si>
    <t>천연섬유망설치</t>
  </si>
  <si>
    <t>천연섬유NET설치</t>
  </si>
  <si>
    <t>L-200~250</t>
  </si>
  <si>
    <t>(단위 : 원)</t>
  </si>
  <si>
    <t>분 류</t>
  </si>
  <si>
    <t>세부항목</t>
  </si>
  <si>
    <t>규 격</t>
  </si>
  <si>
    <t>단위</t>
  </si>
  <si>
    <t>등재가격</t>
  </si>
  <si>
    <t>비 고</t>
  </si>
  <si>
    <t>표토구조형성</t>
  </si>
  <si>
    <t>천연섬유망</t>
  </si>
  <si>
    <t>철망설치</t>
  </si>
  <si>
    <t>녹화기반토양</t>
  </si>
  <si>
    <t>입단형성제</t>
  </si>
  <si>
    <t>입단형성제</t>
  </si>
  <si>
    <t>㈜ 현 우 그 린</t>
  </si>
  <si>
    <t>-</t>
  </si>
  <si>
    <t>1cm</t>
  </si>
  <si>
    <t>SEED형</t>
  </si>
  <si>
    <t>1cm (섬유망)</t>
  </si>
  <si>
    <t>(원/㎡당)</t>
  </si>
  <si>
    <t>토 질</t>
  </si>
  <si>
    <t>토양경도(mm)</t>
  </si>
  <si>
    <t>균열간격   (cm)</t>
  </si>
  <si>
    <t>경 사</t>
  </si>
  <si>
    <t>평균           굴곡편차</t>
  </si>
  <si>
    <t>적 용 기 준</t>
  </si>
  <si>
    <t>설 계 표 시</t>
  </si>
  <si>
    <t>공 사 비</t>
  </si>
  <si>
    <t>시공두께(cm)</t>
  </si>
  <si>
    <t>안정화재종류</t>
  </si>
  <si>
    <t>보통토사</t>
  </si>
  <si>
    <t>25이하</t>
  </si>
  <si>
    <t>1:2.0 이상</t>
  </si>
  <si>
    <t>1:1.9~1:1.5</t>
  </si>
  <si>
    <t>THK - 1</t>
  </si>
  <si>
    <t>1:1.4 이하</t>
  </si>
  <si>
    <t>강마사        점성토</t>
  </si>
  <si>
    <t>25~28</t>
  </si>
  <si>
    <t>1:1.5 이상</t>
  </si>
  <si>
    <t>THK - 2</t>
  </si>
  <si>
    <t>THK - 3</t>
  </si>
  <si>
    <t>천연섬유NET</t>
  </si>
  <si>
    <t>3cm (섬유NET)</t>
  </si>
  <si>
    <t>리핑암</t>
  </si>
  <si>
    <t>29이상</t>
  </si>
  <si>
    <t>1:1.0 이상</t>
  </si>
  <si>
    <t>1:0.9 이하</t>
  </si>
  <si>
    <t>기초철망</t>
  </si>
  <si>
    <t>3cm (기초철망)</t>
  </si>
  <si>
    <t>1~10</t>
  </si>
  <si>
    <t>10 이상</t>
  </si>
  <si>
    <t>1:0.9~1:0.7</t>
  </si>
  <si>
    <t>10 미만</t>
  </si>
  <si>
    <t>4cm (기초철망)</t>
  </si>
  <si>
    <t>연,경암</t>
  </si>
  <si>
    <t>10~30</t>
  </si>
  <si>
    <t>1:0.7 이상</t>
  </si>
  <si>
    <t>THK - 5</t>
  </si>
  <si>
    <t>5cm (기초철망)</t>
  </si>
  <si>
    <t>THK - 7</t>
  </si>
  <si>
    <t>7cm (기초철망)</t>
  </si>
  <si>
    <t>30 이상</t>
  </si>
  <si>
    <t>1:0.6 이하</t>
  </si>
  <si>
    <t>HR</t>
  </si>
  <si>
    <t>2cm (섬유NET)</t>
  </si>
  <si>
    <t>10M2단가적용</t>
  </si>
  <si>
    <t xml:space="preserve">취부기가격 : </t>
  </si>
  <si>
    <t>경유가격</t>
  </si>
  <si>
    <t>장비가격</t>
  </si>
  <si>
    <t>유류대</t>
  </si>
  <si>
    <t>노무비</t>
  </si>
  <si>
    <t>감가상각</t>
  </si>
  <si>
    <t>■ 단가 산출 근거</t>
  </si>
  <si>
    <t>ℓ</t>
  </si>
  <si>
    <t>g</t>
  </si>
  <si>
    <t>㎏</t>
  </si>
  <si>
    <t>제     호표 천연섬유NET 설치공사 -10 M2당-</t>
  </si>
  <si>
    <t>제    호표 천연섬유망 설치공사 -10 M2당-</t>
  </si>
  <si>
    <t>녹화기반토양</t>
  </si>
  <si>
    <t xml:space="preserve">배합종자 </t>
  </si>
  <si>
    <t>제     호표  자연표토복원공법 (THK - 5 CM + 철망설치)   - 10 M2 당 -</t>
  </si>
  <si>
    <t>자연표토복원공법 적용기준 및 공사비</t>
  </si>
  <si>
    <t>제     호표   자연표토복원공법 ( SEED형 )  - 10 M2 당 -</t>
  </si>
  <si>
    <t>제     호표 자연표토복원공법 (THK -   1 CM)  - 10 M2 당 -</t>
  </si>
  <si>
    <t>제     호표  자연표토복원공법 (THK - 1 CM + 천연섬유망설치)  - 10 M2 당 -</t>
  </si>
  <si>
    <t>제     호표  자연표토복원공법 (THK - 2 CM + 천연섬유NET설치)  - 10 M2 당 -</t>
  </si>
  <si>
    <t>제     호표  자연표토복원공법 (THK - 3 CM + 철망설치)  - 10 M2 당 -</t>
  </si>
  <si>
    <t>제     호표  자연표토복원공법 (THK - 4 CM + 철망설치)  - 10 M2 당 -</t>
  </si>
  <si>
    <t>제     호표  자연표토복원공법 (THK - 7 CM + 철망설치)  - 10 M2 당 -</t>
  </si>
  <si>
    <t>제     호표  자연표토복원공법 (THK - 1 CM + 천연섬유네트설치)  - 10 M2 당 -</t>
  </si>
  <si>
    <t>천연섬유망</t>
  </si>
  <si>
    <t>ø1, 5~100 (JUTE-MESH)</t>
  </si>
  <si>
    <t>㎡</t>
  </si>
  <si>
    <t>철망</t>
  </si>
  <si>
    <t>철선</t>
  </si>
  <si>
    <t>m</t>
  </si>
  <si>
    <t>천연섬유NET</t>
  </si>
  <si>
    <t>ø5 X 30 X 30 (COIR-NET)</t>
  </si>
  <si>
    <t>앵커핀</t>
  </si>
  <si>
    <t>ø16, L-300</t>
  </si>
  <si>
    <t>EA</t>
  </si>
  <si>
    <t>착지핀</t>
  </si>
  <si>
    <t>ø16, L-200~300</t>
  </si>
  <si>
    <t>고정핀</t>
  </si>
  <si>
    <t>L-200~250</t>
  </si>
  <si>
    <t>경유</t>
  </si>
  <si>
    <t>ℓ</t>
  </si>
  <si>
    <t>일위대가</t>
  </si>
  <si>
    <t>적산자료</t>
  </si>
  <si>
    <t>적산정보</t>
  </si>
  <si>
    <t>건설적산</t>
  </si>
  <si>
    <t>품      셈</t>
  </si>
  <si>
    <t>제     호표  녹화기초공 (철망공)  - 10 ㎡ 당 -</t>
  </si>
  <si>
    <t>앵커핀</t>
  </si>
  <si>
    <t>착지핀</t>
  </si>
  <si>
    <t xml:space="preserve"> </t>
  </si>
  <si>
    <t>4cm (섬유NET)</t>
  </si>
  <si>
    <t>제     호표  자연표토복원공법 (THK - 3 CM + 천연섬유NET설치)  - 10 M2 당 -</t>
  </si>
  <si>
    <t>제     호표  자연표토복원공법 (THK - 4 CM + 천연섬유NET설치)  - 10 M2 당 -</t>
  </si>
  <si>
    <t xml:space="preserve">공  법  자  료  등  재  </t>
  </si>
  <si>
    <t>1cm (섬유NET)</t>
  </si>
  <si>
    <t>제     호표  자연표토복원공법 (THK - 2 CM)  - 10 M2 당 -</t>
  </si>
  <si>
    <t>제     호표  자연표토복원공법 (THK - 3 CM )  - 10 M2 당 -</t>
  </si>
  <si>
    <t>HI - 그린 (생태숲복원용)</t>
  </si>
  <si>
    <t>HI - 그린 l형(생태복원용)</t>
  </si>
  <si>
    <t>HI - 토(암반녹화용)</t>
  </si>
  <si>
    <t>HI - G</t>
  </si>
  <si>
    <t>특수지반용</t>
  </si>
  <si>
    <t>R2N(수변/생태복원용)</t>
  </si>
  <si>
    <t>다층구조 산림형</t>
  </si>
  <si>
    <t>목본군락형(표준형)</t>
  </si>
  <si>
    <t>초본관목혼합형</t>
  </si>
  <si>
    <t>야생화위주형</t>
  </si>
  <si>
    <t>초본위주형</t>
  </si>
  <si>
    <t>HI - 그린</t>
  </si>
  <si>
    <t>표준형</t>
  </si>
  <si>
    <t>배합종자</t>
  </si>
  <si>
    <t>2cm</t>
  </si>
  <si>
    <t>3cm</t>
  </si>
  <si>
    <t>풍화암</t>
  </si>
  <si>
    <t>-</t>
  </si>
  <si>
    <t>자연표토복원공법(생태숲복원용 SF) 일위대가</t>
  </si>
  <si>
    <t>■ 단가 산출 근거 (1시간 당)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</si>
  <si>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</si>
  <si>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t xml:space="preserve">  2. 트 럭 탑 재 크 레 인(5TON) </t>
  </si>
  <si>
    <t xml:space="preserve">  3. 덤 프 트 럭(6 TON )</t>
  </si>
  <si>
    <t xml:space="preserve">  4. 물  탱  크(5,500L)</t>
  </si>
  <si>
    <t xml:space="preserve">  5. 자 흡 식 펌 프 (100MM)</t>
  </si>
  <si>
    <t xml:space="preserve">  6. 발  전  기 (50KW)</t>
  </si>
  <si>
    <t>제     호표  자연표토복원공법 (THK - 5 CM + 천연섬유NET)   - 10 M2 당 -</t>
  </si>
  <si>
    <t>제     호표  자연표토복원공법 (THK - 7 CM + 천연섬유 NET)  - 10 M2 당 -</t>
  </si>
  <si>
    <t>THK - 4</t>
  </si>
  <si>
    <t>저유황</t>
  </si>
  <si>
    <t xml:space="preserve">■ 2014년도 상반기 공법 관련자료 등재사항 </t>
  </si>
  <si>
    <t>등재 페이지</t>
  </si>
  <si>
    <t>물가자료(2월)</t>
  </si>
  <si>
    <t>물가정보(2월)</t>
  </si>
  <si>
    <t>건설표준품셈
(건설연구사)</t>
  </si>
  <si>
    <t>건설공사표준품셈
(건설교통저널)</t>
  </si>
  <si>
    <t>건설신기술품셈
(한국건설신기술협회)</t>
  </si>
  <si>
    <t>134-136</t>
  </si>
  <si>
    <t>427-432</t>
  </si>
  <si>
    <t xml:space="preserve">취부기가격 : </t>
  </si>
  <si>
    <t>2014년</t>
  </si>
  <si>
    <t xml:space="preserve">2014년 건설 신기술품셈 432 </t>
  </si>
  <si>
    <t>환율 :         $1=</t>
  </si>
  <si>
    <t>(2014년 02월 03일 고시)</t>
  </si>
  <si>
    <t>2014년 02월 03일 고시</t>
  </si>
  <si>
    <t xml:space="preserve">2014년 건설 신기술 품셈 432 </t>
  </si>
  <si>
    <t>트럭탑재크레인(5TON)</t>
  </si>
  <si>
    <t>2014년 건설공사 표준품셈 549</t>
  </si>
  <si>
    <t>덤프트럭(6TON)</t>
  </si>
  <si>
    <t>2014년 건설공사 표준품셈 548</t>
  </si>
  <si>
    <t>물탱크(5,500L)</t>
  </si>
  <si>
    <t>2014년 건설공사 표준품셈 554</t>
  </si>
  <si>
    <t>자흡식펌프(100MM)</t>
  </si>
  <si>
    <t>발전기(50KW)</t>
  </si>
  <si>
    <t>취부기</t>
  </si>
  <si>
    <t>2014년 건설신기술 품셈 431</t>
  </si>
  <si>
    <t>트럭탑재크레인(5ton)</t>
  </si>
  <si>
    <t>2014년 건설공사 표준품셈 477</t>
  </si>
  <si>
    <t>덤프트럭(6ton)</t>
  </si>
  <si>
    <t>2014년 건설공사 표준품셈 468</t>
  </si>
  <si>
    <t>2014년 건설공사 표준품셈 513</t>
  </si>
  <si>
    <t>2014년 건설공사 표준품셈 518</t>
  </si>
  <si>
    <t>2014년 건설공사 표준품셈 516</t>
  </si>
  <si>
    <t>물가자료(2014년 02월 하권 32)</t>
  </si>
  <si>
    <t>작업반장</t>
  </si>
  <si>
    <t>2014년 (사)한국물가협회 노임자료기준</t>
  </si>
  <si>
    <t>착암공</t>
  </si>
  <si>
    <t>일반기계운전사</t>
  </si>
  <si>
    <t>화물차운전사</t>
  </si>
  <si>
    <t>공구손료</t>
  </si>
  <si>
    <t>(2014년도 상반기)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</si>
</sst>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  <numFmt numFmtId="212" formatCode="_-* #,##0.0_-;\-* #,##0.0_-;_-* &quot;-&quot;?_-;_-@_-"/>
    <numFmt numFmtId="213" formatCode="#,##0.0000_);[Red]\(#,##0.0000\)"/>
    <numFmt numFmtId="214" formatCode="0.0%"/>
    <numFmt numFmtId="215" formatCode="0.000%"/>
    <numFmt numFmtId="216" formatCode="_-* #,##0.000_-;\-* #,##0.000_-;_-* &quot;-&quot;???_-;_-@_-"/>
    <numFmt numFmtId="217" formatCode="_-&quot;US$&quot;* #,##0.00_ ;_-&quot;US$&quot;* \-#,##0.00\ ;_-&quot;US$&quot;* &quot;-&quot;??_ ;_-@_ "/>
    <numFmt numFmtId="218" formatCode="_-\$* #,##0.00_ ;_-\$* \-#,##0.00\ ;_-\$* &quot;-&quot;??_ ;_-@_ "/>
    <numFmt numFmtId="219" formatCode="_-&quot;₩&quot;* #,##0.0_-;\-&quot;₩&quot;* #,##0.0_-;_-&quot;₩&quot;* &quot;-&quot;_-;_-@_-"/>
    <numFmt numFmtId="220" formatCode="_-\$* #,##0.000_ ;_-\$* \-#,##0.000\ ;_-\$* &quot;-&quot;??_ ;_-@_ "/>
    <numFmt numFmtId="221" formatCode="_-\$* #,##0.0_ ;_-\$* \-#,##0.0\ ;_-\$* &quot;-&quot;??_ ;_-@_ "/>
    <numFmt numFmtId="222" formatCode="_-&quot;₩&quot;* #,##0.0_-;\-&quot;₩&quot;* #,##0.0_-;_-&quot;₩&quot;* &quot;-&quot;?_-;_-@_-"/>
    <numFmt numFmtId="223" formatCode="_-&quot;₩&quot;* #,##0.0_-;\-&quot;₩&quot;* #,##0.0_-;_-&quot;₩&quot;* &quot;-&quot;??_-;_-@_-"/>
    <numFmt numFmtId="224" formatCode="_-&quot;₩&quot;* #,##0_-;\-&quot;₩&quot;* #,##0_-;_-&quot;₩&quot;* &quot;-&quot;??_-;_-@_-"/>
    <numFmt numFmtId="225" formatCode="_-* #,##0.0_-;\-* #,##0.0_-;_-* &quot;-&quot;??_-;_-@_-"/>
    <numFmt numFmtId="226" formatCode="0.0_ "/>
    <numFmt numFmtId="227" formatCode="0_ "/>
    <numFmt numFmtId="228" formatCode="_-&quot;₩&quot;* #,##0_-;\-&quot;₩&quot;* #,##0_-;_-&quot;₩&quot;* &quot;-&quot;?_-;_-@_-"/>
    <numFmt numFmtId="229" formatCode="_-&quot;₩&quot;* #,##0.00_-;\-&quot;₩&quot;* #,##0.00_-;_-&quot;₩&quot;* &quot;-&quot;_-;_-@_-"/>
    <numFmt numFmtId="230" formatCode="_-&quot;₩&quot;* #,##0.000_-;\-&quot;₩&quot;* #,##0.000_-;_-&quot;₩&quot;* &quot;-&quot;_-;_-@_-"/>
    <numFmt numFmtId="231" formatCode="0.00_ "/>
  </numFmts>
  <fonts count="56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  <font>
      <sz val="9"/>
      <name val="굴림체"/>
      <family val="3"/>
    </font>
    <font>
      <b/>
      <sz val="26"/>
      <name val="굴림"/>
      <family val="3"/>
    </font>
    <font>
      <sz val="12"/>
      <name val="굴림"/>
      <family val="3"/>
    </font>
    <font>
      <b/>
      <sz val="2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6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11"/>
      <name val="돋움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horizontal="center" vertical="center"/>
    </xf>
    <xf numFmtId="184" fontId="5" fillId="0" borderId="20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9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3" fontId="5" fillId="0" borderId="16" xfId="0" applyNumberFormat="1" applyFont="1" applyBorder="1" applyAlignment="1" quotePrefix="1">
      <alignment vertical="center"/>
    </xf>
    <xf numFmtId="184" fontId="5" fillId="0" borderId="14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81" fontId="5" fillId="0" borderId="15" xfId="48" applyFont="1" applyBorder="1" applyAlignment="1">
      <alignment vertical="center"/>
    </xf>
    <xf numFmtId="191" fontId="5" fillId="0" borderId="15" xfId="48" applyNumberFormat="1" applyFont="1" applyBorder="1" applyAlignment="1">
      <alignment vertical="center"/>
    </xf>
    <xf numFmtId="181" fontId="4" fillId="33" borderId="10" xfId="48" applyFont="1" applyFill="1" applyBorder="1" applyAlignment="1">
      <alignment horizontal="center"/>
    </xf>
    <xf numFmtId="181" fontId="4" fillId="33" borderId="12" xfId="48" applyFont="1" applyFill="1" applyBorder="1" applyAlignment="1">
      <alignment horizontal="center" vertical="center"/>
    </xf>
    <xf numFmtId="181" fontId="5" fillId="0" borderId="30" xfId="48" applyFont="1" applyBorder="1" applyAlignment="1">
      <alignment vertical="center"/>
    </xf>
    <xf numFmtId="181" fontId="5" fillId="0" borderId="18" xfId="48" applyFont="1" applyBorder="1" applyAlignment="1">
      <alignment vertical="center"/>
    </xf>
    <xf numFmtId="181" fontId="5" fillId="0" borderId="20" xfId="48" applyFont="1" applyBorder="1" applyAlignment="1">
      <alignment vertical="center"/>
    </xf>
    <xf numFmtId="181" fontId="5" fillId="0" borderId="23" xfId="48" applyFont="1" applyBorder="1" applyAlignment="1">
      <alignment vertical="center"/>
    </xf>
    <xf numFmtId="181" fontId="5" fillId="0" borderId="25" xfId="48" applyFont="1" applyBorder="1" applyAlignment="1">
      <alignment vertical="center"/>
    </xf>
    <xf numFmtId="181" fontId="5" fillId="0" borderId="26" xfId="48" applyFont="1" applyBorder="1" applyAlignment="1">
      <alignment vertical="center"/>
    </xf>
    <xf numFmtId="181" fontId="5" fillId="0" borderId="26" xfId="48" applyFont="1" applyBorder="1" applyAlignment="1">
      <alignment horizontal="center" vertical="center"/>
    </xf>
    <xf numFmtId="181" fontId="5" fillId="0" borderId="28" xfId="48" applyFont="1" applyBorder="1" applyAlignment="1">
      <alignment horizontal="center" vertical="center"/>
    </xf>
    <xf numFmtId="181" fontId="5" fillId="0" borderId="28" xfId="48" applyFont="1" applyBorder="1" applyAlignment="1">
      <alignment vertical="center"/>
    </xf>
    <xf numFmtId="181" fontId="5" fillId="0" borderId="23" xfId="48" applyNumberFormat="1" applyFont="1" applyBorder="1" applyAlignment="1">
      <alignment vertical="center"/>
    </xf>
    <xf numFmtId="181" fontId="5" fillId="0" borderId="15" xfId="48" applyNumberFormat="1" applyFont="1" applyBorder="1" applyAlignment="1">
      <alignment vertical="center"/>
    </xf>
    <xf numFmtId="184" fontId="8" fillId="0" borderId="16" xfId="0" applyNumberFormat="1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1" fontId="4" fillId="0" borderId="15" xfId="48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5" fillId="0" borderId="15" xfId="48" applyNumberFormat="1" applyFont="1" applyBorder="1" applyAlignment="1">
      <alignment horizontal="right" vertical="center"/>
    </xf>
    <xf numFmtId="181" fontId="5" fillId="0" borderId="15" xfId="48" applyFont="1" applyBorder="1" applyAlignment="1">
      <alignment horizontal="right" vertical="center"/>
    </xf>
    <xf numFmtId="193" fontId="5" fillId="0" borderId="15" xfId="0" applyNumberFormat="1" applyFont="1" applyBorder="1" applyAlignment="1">
      <alignment vertical="center"/>
    </xf>
    <xf numFmtId="189" fontId="5" fillId="0" borderId="23" xfId="0" applyNumberFormat="1" applyFont="1" applyBorder="1" applyAlignment="1">
      <alignment vertical="center"/>
    </xf>
    <xf numFmtId="195" fontId="5" fillId="0" borderId="15" xfId="48" applyNumberFormat="1" applyFont="1" applyBorder="1" applyAlignment="1">
      <alignment vertical="center"/>
    </xf>
    <xf numFmtId="191" fontId="5" fillId="0" borderId="15" xfId="48" applyNumberFormat="1" applyFont="1" applyBorder="1" applyAlignment="1">
      <alignment horizontal="right" vertical="center"/>
    </xf>
    <xf numFmtId="192" fontId="5" fillId="0" borderId="15" xfId="48" applyNumberFormat="1" applyFont="1" applyBorder="1" applyAlignment="1">
      <alignment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31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48" applyFont="1" applyAlignment="1">
      <alignment/>
    </xf>
    <xf numFmtId="0" fontId="5" fillId="0" borderId="0" xfId="0" applyFont="1" applyAlignment="1">
      <alignment horizontal="center"/>
    </xf>
    <xf numFmtId="184" fontId="5" fillId="0" borderId="20" xfId="0" applyNumberFormat="1" applyFont="1" applyBorder="1" applyAlignment="1">
      <alignment horizontal="center" vertical="center"/>
    </xf>
    <xf numFmtId="184" fontId="5" fillId="0" borderId="26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48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4" fillId="33" borderId="32" xfId="0" applyNumberFormat="1" applyFont="1" applyFill="1" applyBorder="1" applyAlignment="1">
      <alignment horizontal="left" vertical="center"/>
    </xf>
    <xf numFmtId="41" fontId="4" fillId="33" borderId="11" xfId="0" applyNumberFormat="1" applyFont="1" applyFill="1" applyBorder="1" applyAlignment="1">
      <alignment horizontal="left" vertical="center"/>
    </xf>
    <xf numFmtId="41" fontId="4" fillId="33" borderId="32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4" fillId="33" borderId="13" xfId="0" applyNumberFormat="1" applyFont="1" applyFill="1" applyBorder="1" applyAlignment="1">
      <alignment horizontal="center" vertical="center"/>
    </xf>
    <xf numFmtId="41" fontId="5" fillId="0" borderId="20" xfId="0" applyNumberFormat="1" applyFont="1" applyBorder="1" applyAlignment="1">
      <alignment vertical="center"/>
    </xf>
    <xf numFmtId="41" fontId="5" fillId="0" borderId="23" xfId="48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184" fontId="5" fillId="0" borderId="27" xfId="0" applyNumberFormat="1" applyFont="1" applyBorder="1" applyAlignment="1">
      <alignment horizontal="left" vertical="center"/>
    </xf>
    <xf numFmtId="181" fontId="5" fillId="0" borderId="26" xfId="48" applyFont="1" applyBorder="1" applyAlignment="1">
      <alignment horizontal="left" vertical="center"/>
    </xf>
    <xf numFmtId="184" fontId="12" fillId="0" borderId="26" xfId="0" applyNumberFormat="1" applyFont="1" applyBorder="1" applyAlignment="1">
      <alignment horizontal="left" vertical="top"/>
    </xf>
    <xf numFmtId="184" fontId="5" fillId="0" borderId="26" xfId="0" applyNumberFormat="1" applyFont="1" applyBorder="1" applyAlignment="1" quotePrefix="1">
      <alignment horizontal="left" vertical="center"/>
    </xf>
    <xf numFmtId="0" fontId="14" fillId="0" borderId="0" xfId="0" applyFont="1" applyAlignment="1">
      <alignment/>
    </xf>
    <xf numFmtId="41" fontId="17" fillId="0" borderId="0" xfId="0" applyNumberFormat="1" applyFont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17" fillId="0" borderId="33" xfId="0" applyNumberFormat="1" applyFont="1" applyBorder="1" applyAlignment="1">
      <alignment horizontal="center" vertical="center"/>
    </xf>
    <xf numFmtId="41" fontId="21" fillId="0" borderId="33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34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33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62" applyFont="1">
      <alignment vertical="center"/>
      <protection/>
    </xf>
    <xf numFmtId="0" fontId="17" fillId="0" borderId="0" xfId="62" applyFont="1" applyAlignment="1">
      <alignment horizontal="center" vertical="center"/>
      <protection/>
    </xf>
    <xf numFmtId="0" fontId="20" fillId="0" borderId="0" xfId="62" applyFont="1" applyAlignment="1">
      <alignment horizontal="right" vertical="center"/>
      <protection/>
    </xf>
    <xf numFmtId="0" fontId="17" fillId="0" borderId="17" xfId="62" applyFont="1" applyBorder="1" applyAlignment="1">
      <alignment horizontal="center" vertical="center"/>
      <protection/>
    </xf>
    <xf numFmtId="0" fontId="17" fillId="0" borderId="18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30" xfId="62" applyFont="1" applyBorder="1" applyAlignment="1">
      <alignment horizontal="center" vertical="center"/>
      <protection/>
    </xf>
    <xf numFmtId="41" fontId="17" fillId="0" borderId="15" xfId="62" applyNumberFormat="1" applyFont="1" applyBorder="1" applyAlignment="1">
      <alignment horizontal="center" vertical="center"/>
      <protection/>
    </xf>
    <xf numFmtId="0" fontId="17" fillId="0" borderId="31" xfId="62" applyFont="1" applyBorder="1" applyAlignment="1">
      <alignment horizontal="center" vertical="center"/>
      <protection/>
    </xf>
    <xf numFmtId="41" fontId="17" fillId="0" borderId="16" xfId="62" applyNumberFormat="1" applyFont="1" applyBorder="1">
      <alignment vertical="center"/>
      <protection/>
    </xf>
    <xf numFmtId="41" fontId="17" fillId="0" borderId="16" xfId="62" applyNumberFormat="1" applyFont="1" applyBorder="1" applyAlignment="1">
      <alignment vertical="center"/>
      <protection/>
    </xf>
    <xf numFmtId="10" fontId="5" fillId="0" borderId="23" xfId="43" applyNumberFormat="1" applyFont="1" applyBorder="1" applyAlignment="1">
      <alignment vertical="center"/>
    </xf>
    <xf numFmtId="205" fontId="5" fillId="0" borderId="18" xfId="0" applyNumberFormat="1" applyFont="1" applyBorder="1" applyAlignment="1">
      <alignment vertical="center"/>
    </xf>
    <xf numFmtId="215" fontId="5" fillId="0" borderId="23" xfId="43" applyNumberFormat="1" applyFont="1" applyBorder="1" applyAlignment="1">
      <alignment vertical="center"/>
    </xf>
    <xf numFmtId="184" fontId="17" fillId="0" borderId="33" xfId="0" applyNumberFormat="1" applyFont="1" applyBorder="1" applyAlignment="1">
      <alignment horizontal="center" vertical="center"/>
    </xf>
    <xf numFmtId="184" fontId="21" fillId="0" borderId="33" xfId="0" applyNumberFormat="1" applyFont="1" applyBorder="1" applyAlignment="1">
      <alignment horizontal="center" vertical="center"/>
    </xf>
    <xf numFmtId="181" fontId="4" fillId="33" borderId="32" xfId="48" applyFont="1" applyFill="1" applyBorder="1" applyAlignment="1">
      <alignment horizontal="left" vertical="center"/>
    </xf>
    <xf numFmtId="181" fontId="4" fillId="33" borderId="11" xfId="48" applyFont="1" applyFill="1" applyBorder="1" applyAlignment="1">
      <alignment horizontal="left" vertical="center"/>
    </xf>
    <xf numFmtId="181" fontId="4" fillId="33" borderId="32" xfId="48" applyFont="1" applyFill="1" applyBorder="1" applyAlignment="1">
      <alignment horizontal="center" vertical="center"/>
    </xf>
    <xf numFmtId="181" fontId="4" fillId="33" borderId="11" xfId="48" applyFont="1" applyFill="1" applyBorder="1" applyAlignment="1">
      <alignment horizontal="center" vertical="center"/>
    </xf>
    <xf numFmtId="181" fontId="4" fillId="33" borderId="13" xfId="48" applyFont="1" applyFill="1" applyBorder="1" applyAlignment="1">
      <alignment horizontal="center" vertical="center"/>
    </xf>
    <xf numFmtId="0" fontId="17" fillId="0" borderId="23" xfId="62" applyFont="1" applyBorder="1" applyAlignment="1">
      <alignment horizontal="center" vertical="center"/>
      <protection/>
    </xf>
    <xf numFmtId="0" fontId="17" fillId="0" borderId="34" xfId="62" applyFont="1" applyBorder="1" applyAlignment="1">
      <alignment horizontal="center" vertical="center"/>
      <protection/>
    </xf>
    <xf numFmtId="41" fontId="17" fillId="0" borderId="35" xfId="62" applyNumberFormat="1" applyFont="1" applyBorder="1" applyAlignment="1">
      <alignment vertical="center"/>
      <protection/>
    </xf>
    <xf numFmtId="0" fontId="17" fillId="0" borderId="36" xfId="62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 vertical="center"/>
      <protection/>
    </xf>
    <xf numFmtId="41" fontId="17" fillId="0" borderId="21" xfId="62" applyNumberFormat="1" applyFont="1" applyBorder="1">
      <alignment vertical="center"/>
      <protection/>
    </xf>
    <xf numFmtId="41" fontId="17" fillId="0" borderId="19" xfId="62" applyNumberFormat="1" applyFont="1" applyBorder="1" applyAlignment="1">
      <alignment horizontal="center" vertical="center"/>
      <protection/>
    </xf>
    <xf numFmtId="0" fontId="17" fillId="34" borderId="15" xfId="0" applyNumberFormat="1" applyFont="1" applyFill="1" applyBorder="1" applyAlignment="1">
      <alignment horizontal="center" vertical="center" wrapText="1"/>
    </xf>
    <xf numFmtId="41" fontId="17" fillId="0" borderId="33" xfId="0" applyNumberFormat="1" applyFont="1" applyFill="1" applyBorder="1" applyAlignment="1">
      <alignment horizontal="center" vertical="center"/>
    </xf>
    <xf numFmtId="0" fontId="17" fillId="0" borderId="39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center" vertical="center"/>
      <protection/>
    </xf>
    <xf numFmtId="0" fontId="17" fillId="0" borderId="19" xfId="62" applyFont="1" applyBorder="1" applyAlignment="1">
      <alignment horizontal="center" vertical="center"/>
      <protection/>
    </xf>
    <xf numFmtId="3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190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41" fontId="17" fillId="0" borderId="40" xfId="0" applyNumberFormat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1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42" fontId="5" fillId="0" borderId="26" xfId="0" applyNumberFormat="1" applyFont="1" applyBorder="1" applyAlignment="1">
      <alignment horizontal="center" vertical="center"/>
    </xf>
    <xf numFmtId="42" fontId="5" fillId="0" borderId="26" xfId="0" applyNumberFormat="1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45" xfId="0" applyFont="1" applyBorder="1" applyAlignment="1">
      <alignment/>
    </xf>
    <xf numFmtId="41" fontId="5" fillId="0" borderId="27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228" fontId="5" fillId="0" borderId="26" xfId="0" applyNumberFormat="1" applyFont="1" applyBorder="1" applyAlignment="1">
      <alignment horizontal="center" vertical="center"/>
    </xf>
    <xf numFmtId="224" fontId="5" fillId="0" borderId="26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81" fontId="5" fillId="0" borderId="48" xfId="48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221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42" fontId="8" fillId="0" borderId="4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229" fontId="5" fillId="0" borderId="26" xfId="0" applyNumberFormat="1" applyFont="1" applyBorder="1" applyAlignment="1">
      <alignment horizontal="center" vertical="center"/>
    </xf>
    <xf numFmtId="41" fontId="17" fillId="34" borderId="50" xfId="0" applyNumberFormat="1" applyFont="1" applyFill="1" applyBorder="1" applyAlignment="1">
      <alignment horizontal="center" vertical="center"/>
    </xf>
    <xf numFmtId="184" fontId="17" fillId="0" borderId="51" xfId="0" applyNumberFormat="1" applyFont="1" applyBorder="1" applyAlignment="1">
      <alignment horizontal="center" vertical="center"/>
    </xf>
    <xf numFmtId="41" fontId="21" fillId="0" borderId="51" xfId="0" applyNumberFormat="1" applyFont="1" applyBorder="1" applyAlignment="1">
      <alignment horizontal="center" vertical="center"/>
    </xf>
    <xf numFmtId="41" fontId="17" fillId="0" borderId="51" xfId="0" applyNumberFormat="1" applyFont="1" applyFill="1" applyBorder="1" applyAlignment="1">
      <alignment horizontal="center" vertical="center"/>
    </xf>
    <xf numFmtId="0" fontId="17" fillId="0" borderId="51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41" fontId="17" fillId="0" borderId="50" xfId="0" applyNumberFormat="1" applyFont="1" applyBorder="1" applyAlignment="1">
      <alignment horizontal="center" vertical="center"/>
    </xf>
    <xf numFmtId="197" fontId="17" fillId="0" borderId="50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81" fontId="5" fillId="0" borderId="53" xfId="48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vertic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41" fontId="17" fillId="0" borderId="51" xfId="0" applyNumberFormat="1" applyFont="1" applyBorder="1" applyAlignment="1">
      <alignment horizontal="center" vertical="center"/>
    </xf>
    <xf numFmtId="181" fontId="5" fillId="0" borderId="15" xfId="48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vertical="center"/>
    </xf>
    <xf numFmtId="198" fontId="5" fillId="0" borderId="15" xfId="48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181" fontId="5" fillId="0" borderId="56" xfId="48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41" fontId="5" fillId="0" borderId="56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41" fontId="5" fillId="0" borderId="18" xfId="48" applyNumberFormat="1" applyFont="1" applyBorder="1" applyAlignment="1">
      <alignment vertical="center"/>
    </xf>
    <xf numFmtId="10" fontId="5" fillId="0" borderId="18" xfId="43" applyNumberFormat="1" applyFont="1" applyBorder="1" applyAlignment="1">
      <alignment vertical="center"/>
    </xf>
    <xf numFmtId="207" fontId="17" fillId="0" borderId="24" xfId="62" applyNumberFormat="1" applyFont="1" applyBorder="1" applyAlignment="1">
      <alignment horizontal="center" vertical="center"/>
      <protection/>
    </xf>
    <xf numFmtId="41" fontId="5" fillId="0" borderId="30" xfId="0" applyNumberFormat="1" applyFont="1" applyBorder="1" applyAlignment="1">
      <alignment horizontal="center" vertical="center"/>
    </xf>
    <xf numFmtId="0" fontId="17" fillId="0" borderId="40" xfId="62" applyFont="1" applyBorder="1" applyAlignment="1">
      <alignment horizontal="center" vertical="center"/>
      <protection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 quotePrefix="1">
      <alignment vertical="center"/>
    </xf>
    <xf numFmtId="3" fontId="5" fillId="0" borderId="15" xfId="0" applyNumberFormat="1" applyFont="1" applyBorder="1" applyAlignment="1">
      <alignment vertical="center"/>
    </xf>
    <xf numFmtId="215" fontId="5" fillId="0" borderId="15" xfId="43" applyNumberFormat="1" applyFont="1" applyBorder="1" applyAlignment="1">
      <alignment vertical="center"/>
    </xf>
    <xf numFmtId="3" fontId="5" fillId="0" borderId="35" xfId="0" applyNumberFormat="1" applyFont="1" applyBorder="1" applyAlignment="1">
      <alignment horizontal="center" vertical="center"/>
    </xf>
    <xf numFmtId="205" fontId="5" fillId="0" borderId="2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219" fontId="5" fillId="0" borderId="26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/>
    </xf>
    <xf numFmtId="42" fontId="5" fillId="0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vertical="center"/>
    </xf>
    <xf numFmtId="42" fontId="5" fillId="0" borderId="26" xfId="0" applyNumberFormat="1" applyFont="1" applyFill="1" applyBorder="1" applyAlignment="1">
      <alignment vertical="center"/>
    </xf>
    <xf numFmtId="42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1" fontId="5" fillId="0" borderId="3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1" fontId="17" fillId="0" borderId="15" xfId="62" applyNumberFormat="1" applyFont="1" applyBorder="1" applyAlignment="1">
      <alignment horizontal="center" vertical="center"/>
      <protection/>
    </xf>
    <xf numFmtId="41" fontId="17" fillId="0" borderId="18" xfId="62" applyNumberFormat="1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/>
      <protection/>
    </xf>
    <xf numFmtId="0" fontId="17" fillId="0" borderId="17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18" xfId="62" applyFont="1" applyBorder="1" applyAlignment="1">
      <alignment horizontal="center" vertical="center"/>
      <protection/>
    </xf>
    <xf numFmtId="41" fontId="17" fillId="0" borderId="23" xfId="62" applyNumberFormat="1" applyFont="1" applyBorder="1" applyAlignment="1">
      <alignment horizontal="center" vertical="center"/>
      <protection/>
    </xf>
    <xf numFmtId="41" fontId="17" fillId="0" borderId="58" xfId="62" applyNumberFormat="1" applyFont="1" applyBorder="1" applyAlignment="1">
      <alignment horizontal="center" vertical="center"/>
      <protection/>
    </xf>
    <xf numFmtId="41" fontId="17" fillId="0" borderId="56" xfId="62" applyNumberFormat="1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7" fillId="0" borderId="59" xfId="62" applyFont="1" applyBorder="1" applyAlignment="1">
      <alignment horizontal="center" vertical="center"/>
      <protection/>
    </xf>
    <xf numFmtId="0" fontId="17" fillId="0" borderId="55" xfId="62" applyFont="1" applyBorder="1" applyAlignment="1">
      <alignment horizontal="center" vertical="center"/>
      <protection/>
    </xf>
    <xf numFmtId="41" fontId="17" fillId="0" borderId="20" xfId="62" applyNumberFormat="1" applyFont="1" applyBorder="1" applyAlignment="1">
      <alignment horizontal="center" vertical="center"/>
      <protection/>
    </xf>
    <xf numFmtId="0" fontId="17" fillId="0" borderId="23" xfId="62" applyFont="1" applyBorder="1" applyAlignment="1">
      <alignment horizontal="center" vertical="center"/>
      <protection/>
    </xf>
    <xf numFmtId="0" fontId="17" fillId="0" borderId="56" xfId="62" applyFont="1" applyBorder="1" applyAlignment="1">
      <alignment horizontal="center" vertical="center"/>
      <protection/>
    </xf>
    <xf numFmtId="0" fontId="17" fillId="0" borderId="24" xfId="62" applyFont="1" applyBorder="1" applyAlignment="1">
      <alignment horizontal="center" vertical="center"/>
      <protection/>
    </xf>
    <xf numFmtId="0" fontId="17" fillId="0" borderId="35" xfId="62" applyFont="1" applyBorder="1" applyAlignment="1">
      <alignment horizontal="center" vertical="center"/>
      <protection/>
    </xf>
    <xf numFmtId="0" fontId="18" fillId="0" borderId="0" xfId="62" applyFont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 wrapText="1" shrinkToFit="1"/>
      <protection/>
    </xf>
    <xf numFmtId="0" fontId="17" fillId="0" borderId="18" xfId="62" applyFont="1" applyBorder="1" applyAlignment="1">
      <alignment horizontal="center" vertical="center" wrapText="1" shrinkToFit="1"/>
      <protection/>
    </xf>
    <xf numFmtId="0" fontId="17" fillId="0" borderId="20" xfId="62" applyFont="1" applyBorder="1" applyAlignment="1">
      <alignment horizontal="center" vertical="center" wrapText="1"/>
      <protection/>
    </xf>
    <xf numFmtId="0" fontId="17" fillId="0" borderId="18" xfId="62" applyFont="1" applyBorder="1" applyAlignment="1">
      <alignment horizontal="center" vertical="center" wrapText="1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 vertical="center" wrapText="1"/>
      <protection/>
    </xf>
    <xf numFmtId="0" fontId="17" fillId="0" borderId="60" xfId="62" applyFont="1" applyBorder="1" applyAlignment="1">
      <alignment horizontal="center" vertical="center" wrapText="1"/>
      <protection/>
    </xf>
    <xf numFmtId="0" fontId="17" fillId="0" borderId="46" xfId="62" applyFont="1" applyBorder="1" applyAlignment="1">
      <alignment horizontal="center" vertical="center"/>
      <protection/>
    </xf>
    <xf numFmtId="0" fontId="17" fillId="0" borderId="34" xfId="62" applyFont="1" applyBorder="1" applyAlignment="1">
      <alignment horizontal="center" vertical="center"/>
      <protection/>
    </xf>
    <xf numFmtId="0" fontId="17" fillId="0" borderId="61" xfId="62" applyFont="1" applyBorder="1" applyAlignment="1">
      <alignment horizontal="center" vertical="center"/>
      <protection/>
    </xf>
    <xf numFmtId="0" fontId="17" fillId="0" borderId="62" xfId="62" applyFont="1" applyBorder="1" applyAlignment="1">
      <alignment horizontal="center" vertical="center"/>
      <protection/>
    </xf>
    <xf numFmtId="0" fontId="17" fillId="0" borderId="63" xfId="62" applyFont="1" applyBorder="1" applyAlignment="1">
      <alignment horizontal="center" vertical="center"/>
      <protection/>
    </xf>
    <xf numFmtId="0" fontId="17" fillId="0" borderId="64" xfId="62" applyFont="1" applyBorder="1" applyAlignment="1">
      <alignment horizontal="center" vertical="center"/>
      <protection/>
    </xf>
    <xf numFmtId="0" fontId="17" fillId="0" borderId="65" xfId="62" applyFont="1" applyBorder="1" applyAlignment="1">
      <alignment horizontal="center" vertical="center"/>
      <protection/>
    </xf>
    <xf numFmtId="0" fontId="17" fillId="0" borderId="66" xfId="62" applyFont="1" applyBorder="1" applyAlignment="1">
      <alignment horizontal="center" vertical="center"/>
      <protection/>
    </xf>
    <xf numFmtId="0" fontId="17" fillId="0" borderId="58" xfId="62" applyFont="1" applyBorder="1" applyAlignment="1">
      <alignment horizontal="center" vertical="center"/>
      <protection/>
    </xf>
    <xf numFmtId="0" fontId="17" fillId="0" borderId="57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 wrapText="1"/>
      <protection/>
    </xf>
    <xf numFmtId="0" fontId="17" fillId="0" borderId="59" xfId="62" applyFont="1" applyBorder="1" applyAlignment="1">
      <alignment horizontal="center" vertical="center" wrapText="1"/>
      <protection/>
    </xf>
    <xf numFmtId="0" fontId="17" fillId="0" borderId="55" xfId="62" applyFont="1" applyBorder="1" applyAlignment="1">
      <alignment horizontal="center" vertical="center" wrapText="1"/>
      <protection/>
    </xf>
    <xf numFmtId="3" fontId="5" fillId="0" borderId="26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41" fontId="17" fillId="0" borderId="50" xfId="0" applyNumberFormat="1" applyFont="1" applyBorder="1" applyAlignment="1">
      <alignment horizontal="center" vertical="center" textRotation="255"/>
    </xf>
    <xf numFmtId="41" fontId="17" fillId="0" borderId="58" xfId="0" applyNumberFormat="1" applyFont="1" applyBorder="1" applyAlignment="1">
      <alignment horizontal="center" vertical="center" textRotation="255"/>
    </xf>
    <xf numFmtId="41" fontId="17" fillId="0" borderId="56" xfId="0" applyNumberFormat="1" applyFont="1" applyBorder="1" applyAlignment="1">
      <alignment horizontal="center" vertical="center" textRotation="255"/>
    </xf>
    <xf numFmtId="41" fontId="17" fillId="0" borderId="67" xfId="0" applyNumberFormat="1" applyFont="1" applyBorder="1" applyAlignment="1">
      <alignment horizontal="center" vertical="center"/>
    </xf>
    <xf numFmtId="41" fontId="17" fillId="0" borderId="50" xfId="0" applyNumberFormat="1" applyFont="1" applyBorder="1" applyAlignment="1">
      <alignment horizontal="center" vertical="center"/>
    </xf>
    <xf numFmtId="41" fontId="17" fillId="0" borderId="68" xfId="0" applyNumberFormat="1" applyFont="1" applyBorder="1" applyAlignment="1">
      <alignment horizontal="center" vertical="center"/>
    </xf>
    <xf numFmtId="41" fontId="17" fillId="0" borderId="69" xfId="0" applyNumberFormat="1" applyFont="1" applyBorder="1" applyAlignment="1">
      <alignment horizontal="center" vertical="center"/>
    </xf>
    <xf numFmtId="41" fontId="17" fillId="0" borderId="70" xfId="0" applyNumberFormat="1" applyFont="1" applyBorder="1" applyAlignment="1">
      <alignment horizontal="center" vertical="center"/>
    </xf>
    <xf numFmtId="41" fontId="17" fillId="0" borderId="58" xfId="0" applyNumberFormat="1" applyFont="1" applyBorder="1" applyAlignment="1">
      <alignment horizontal="center" vertical="center"/>
    </xf>
    <xf numFmtId="41" fontId="17" fillId="0" borderId="71" xfId="0" applyNumberFormat="1" applyFont="1" applyBorder="1" applyAlignment="1">
      <alignment horizontal="center" vertical="center"/>
    </xf>
    <xf numFmtId="41" fontId="17" fillId="0" borderId="31" xfId="0" applyNumberFormat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41" fontId="17" fillId="0" borderId="30" xfId="0" applyNumberFormat="1" applyFont="1" applyBorder="1" applyAlignment="1">
      <alignment horizontal="center" vertical="center"/>
    </xf>
    <xf numFmtId="41" fontId="17" fillId="0" borderId="40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2" xfId="0" applyNumberFormat="1" applyFont="1" applyBorder="1" applyAlignment="1">
      <alignment horizontal="center" vertical="center"/>
    </xf>
    <xf numFmtId="41" fontId="17" fillId="0" borderId="72" xfId="0" applyNumberFormat="1" applyFont="1" applyBorder="1" applyAlignment="1">
      <alignment horizontal="center" vertical="center"/>
    </xf>
    <xf numFmtId="41" fontId="17" fillId="0" borderId="53" xfId="0" applyNumberFormat="1" applyFont="1" applyBorder="1" applyAlignment="1">
      <alignment horizontal="center" vertical="center"/>
    </xf>
    <xf numFmtId="41" fontId="17" fillId="0" borderId="73" xfId="0" applyNumberFormat="1" applyFont="1" applyBorder="1" applyAlignment="1">
      <alignment horizontal="center" vertical="center"/>
    </xf>
    <xf numFmtId="41" fontId="17" fillId="0" borderId="23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41" fontId="17" fillId="0" borderId="56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시공두께및안정화재설치기준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en\Desktop\&#44540;&#44144;&#51088;&#47308;\&#51068;&#50948;&#45824;&#44032;\2014&#45380;%20&#49345;&#48152;&#44592;%20&#51068;&#50948;&#45824;&#44032;\SF-I%20&#50756;&#47308;\2014&#45380;&#46020;%20&#51088;&#50672;&#54364;&#53664;&#48373;&#50896;&#44277;&#48277;(SF-I)-&#49345;&#48152;&#445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표지"/>
      <sheetName val="SF-I적용기준"/>
      <sheetName val="브니엘임업발송"/>
      <sheetName val="최종단가산출"/>
      <sheetName val="안정화재"/>
      <sheetName val="단가산출근거"/>
      <sheetName val="등재사항"/>
    </sheetNames>
    <sheetDataSet>
      <sheetData sheetId="7">
        <row r="24">
          <cell r="E24">
            <v>1454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22"/>
  <sheetViews>
    <sheetView view="pageBreakPreview" zoomScaleNormal="75" zoomScaleSheetLayoutView="100" zoomScalePageLayoutView="0" workbookViewId="0" topLeftCell="A1">
      <selection activeCell="H20" sqref="H20"/>
    </sheetView>
  </sheetViews>
  <sheetFormatPr defaultColWidth="9.00390625" defaultRowHeight="14.25"/>
  <cols>
    <col min="1" max="12" width="9.00390625" style="99" customWidth="1"/>
    <col min="13" max="13" width="12.75390625" style="99" customWidth="1"/>
    <col min="14" max="16384" width="9.00390625" style="99" customWidth="1"/>
  </cols>
  <sheetData>
    <row r="5" spans="3:8" ht="30" customHeight="1">
      <c r="C5" s="192"/>
      <c r="D5" s="192"/>
      <c r="E5" s="192"/>
      <c r="F5" s="192"/>
      <c r="G5" s="192"/>
      <c r="H5" s="192"/>
    </row>
    <row r="6" spans="3:8" ht="18.75">
      <c r="C6" s="192"/>
      <c r="D6" s="192"/>
      <c r="E6" s="192"/>
      <c r="F6" s="192"/>
      <c r="G6" s="192"/>
      <c r="H6" s="192"/>
    </row>
    <row r="7" spans="1:13" ht="27.75" customHeight="1">
      <c r="A7" s="241" t="s">
        <v>207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</row>
    <row r="8" ht="13.5" customHeight="1"/>
    <row r="9" spans="1:13" ht="27">
      <c r="A9" s="242" t="s">
        <v>259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22" spans="1:13" ht="25.5">
      <c r="A22" s="243" t="s">
        <v>80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</row>
  </sheetData>
  <sheetProtection/>
  <mergeCells count="3">
    <mergeCell ref="A7:M7"/>
    <mergeCell ref="A9:M9"/>
    <mergeCell ref="A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B16" sqref="B16:B17"/>
    </sheetView>
  </sheetViews>
  <sheetFormatPr defaultColWidth="10.00390625" defaultRowHeight="19.5" customHeight="1"/>
  <cols>
    <col min="1" max="1" width="11.75390625" style="113" customWidth="1"/>
    <col min="2" max="3" width="12.125" style="113" customWidth="1"/>
    <col min="4" max="4" width="14.50390625" style="113" customWidth="1"/>
    <col min="5" max="5" width="12.375" style="113" customWidth="1"/>
    <col min="6" max="6" width="15.625" style="112" customWidth="1"/>
    <col min="7" max="7" width="14.75390625" style="113" bestFit="1" customWidth="1"/>
    <col min="8" max="8" width="15.00390625" style="113" bestFit="1" customWidth="1"/>
    <col min="9" max="9" width="12.875" style="112" customWidth="1"/>
    <col min="10" max="16384" width="10.00390625" style="112" customWidth="1"/>
  </cols>
  <sheetData>
    <row r="1" spans="1:9" ht="19.5" customHeight="1">
      <c r="A1" s="261" t="s">
        <v>147</v>
      </c>
      <c r="B1" s="261"/>
      <c r="C1" s="261"/>
      <c r="D1" s="261"/>
      <c r="E1" s="261"/>
      <c r="F1" s="261"/>
      <c r="G1" s="261"/>
      <c r="H1" s="261"/>
      <c r="I1" s="261"/>
    </row>
    <row r="2" spans="8:9" ht="19.5" customHeight="1" thickBot="1">
      <c r="H2" s="114"/>
      <c r="I2" s="114" t="s">
        <v>85</v>
      </c>
    </row>
    <row r="3" spans="1:9" ht="24.75" customHeight="1">
      <c r="A3" s="262" t="s">
        <v>86</v>
      </c>
      <c r="B3" s="263" t="s">
        <v>87</v>
      </c>
      <c r="C3" s="265" t="s">
        <v>88</v>
      </c>
      <c r="D3" s="267" t="s">
        <v>89</v>
      </c>
      <c r="E3" s="268" t="s">
        <v>90</v>
      </c>
      <c r="F3" s="270" t="s">
        <v>91</v>
      </c>
      <c r="G3" s="271"/>
      <c r="H3" s="272" t="s">
        <v>92</v>
      </c>
      <c r="I3" s="274" t="s">
        <v>93</v>
      </c>
    </row>
    <row r="4" spans="1:9" ht="24.75" customHeight="1" thickBot="1">
      <c r="A4" s="247"/>
      <c r="B4" s="264"/>
      <c r="C4" s="266"/>
      <c r="D4" s="249"/>
      <c r="E4" s="269"/>
      <c r="F4" s="115" t="s">
        <v>94</v>
      </c>
      <c r="G4" s="116" t="s">
        <v>95</v>
      </c>
      <c r="H4" s="273"/>
      <c r="I4" s="275"/>
    </row>
    <row r="5" spans="1:9" ht="24.75" customHeight="1">
      <c r="A5" s="276" t="s">
        <v>96</v>
      </c>
      <c r="B5" s="277" t="s">
        <v>97</v>
      </c>
      <c r="C5" s="277" t="s">
        <v>81</v>
      </c>
      <c r="D5" s="134" t="s">
        <v>98</v>
      </c>
      <c r="E5" s="274" t="s">
        <v>81</v>
      </c>
      <c r="F5" s="137" t="s">
        <v>83</v>
      </c>
      <c r="G5" s="256" t="s">
        <v>81</v>
      </c>
      <c r="H5" s="138" t="s">
        <v>83</v>
      </c>
      <c r="I5" s="139">
        <f>INT(최종단가산출!L17/10)</f>
        <v>13058</v>
      </c>
    </row>
    <row r="6" spans="1:9" ht="24.75" customHeight="1">
      <c r="A6" s="254"/>
      <c r="B6" s="278"/>
      <c r="C6" s="278"/>
      <c r="D6" s="118" t="s">
        <v>99</v>
      </c>
      <c r="E6" s="279"/>
      <c r="F6" s="253" t="s">
        <v>100</v>
      </c>
      <c r="G6" s="244"/>
      <c r="H6" s="120" t="s">
        <v>82</v>
      </c>
      <c r="I6" s="121">
        <f>INT(최종단가산출!L36/10)</f>
        <v>19994</v>
      </c>
    </row>
    <row r="7" spans="1:9" ht="24.75" customHeight="1">
      <c r="A7" s="254"/>
      <c r="B7" s="278"/>
      <c r="C7" s="278"/>
      <c r="D7" s="257" t="s">
        <v>101</v>
      </c>
      <c r="E7" s="279"/>
      <c r="F7" s="254"/>
      <c r="G7" s="119" t="s">
        <v>75</v>
      </c>
      <c r="H7" s="133" t="s">
        <v>84</v>
      </c>
      <c r="I7" s="122">
        <f>INT(최종단가산출!L56/10)</f>
        <v>23793</v>
      </c>
    </row>
    <row r="8" spans="1:9" ht="24.75" customHeight="1">
      <c r="A8" s="255"/>
      <c r="B8" s="258"/>
      <c r="C8" s="258"/>
      <c r="D8" s="258"/>
      <c r="E8" s="260"/>
      <c r="F8" s="255"/>
      <c r="G8" s="250" t="s">
        <v>107</v>
      </c>
      <c r="H8" s="133" t="s">
        <v>186</v>
      </c>
      <c r="I8" s="135">
        <f>INT(최종단가산출!L75/10)</f>
        <v>25491</v>
      </c>
    </row>
    <row r="9" spans="1:9" ht="24.75" customHeight="1">
      <c r="A9" s="280" t="s">
        <v>102</v>
      </c>
      <c r="B9" s="257" t="s">
        <v>103</v>
      </c>
      <c r="C9" s="257" t="s">
        <v>81</v>
      </c>
      <c r="D9" s="257" t="s">
        <v>104</v>
      </c>
      <c r="E9" s="259" t="s">
        <v>81</v>
      </c>
      <c r="F9" s="253" t="s">
        <v>105</v>
      </c>
      <c r="G9" s="251"/>
      <c r="H9" s="214" t="s">
        <v>203</v>
      </c>
      <c r="I9" s="135">
        <f>INT(최종단가산출!L93/10)</f>
        <v>31478</v>
      </c>
    </row>
    <row r="10" spans="1:9" ht="24.75" customHeight="1">
      <c r="A10" s="281"/>
      <c r="B10" s="278"/>
      <c r="C10" s="278"/>
      <c r="D10" s="258"/>
      <c r="E10" s="279"/>
      <c r="F10" s="255"/>
      <c r="G10" s="251"/>
      <c r="H10" s="120" t="s">
        <v>130</v>
      </c>
      <c r="I10" s="135">
        <f>INT(최종단가산출!L113/10)</f>
        <v>36974</v>
      </c>
    </row>
    <row r="11" spans="1:9" ht="24.75" customHeight="1">
      <c r="A11" s="282"/>
      <c r="B11" s="258"/>
      <c r="C11" s="258"/>
      <c r="D11" s="118" t="s">
        <v>101</v>
      </c>
      <c r="E11" s="260"/>
      <c r="F11" s="253" t="s">
        <v>106</v>
      </c>
      <c r="G11" s="251"/>
      <c r="H11" s="133" t="s">
        <v>204</v>
      </c>
      <c r="I11" s="212">
        <f>INT(최종단가산출!L131/10)</f>
        <v>43577</v>
      </c>
    </row>
    <row r="12" spans="1:9" ht="24.75" customHeight="1">
      <c r="A12" s="246" t="s">
        <v>109</v>
      </c>
      <c r="B12" s="248" t="s">
        <v>110</v>
      </c>
      <c r="C12" s="257" t="s">
        <v>81</v>
      </c>
      <c r="D12" s="118" t="s">
        <v>111</v>
      </c>
      <c r="E12" s="259" t="s">
        <v>81</v>
      </c>
      <c r="F12" s="254"/>
      <c r="G12" s="252"/>
      <c r="H12" s="133" t="s">
        <v>108</v>
      </c>
      <c r="I12" s="212">
        <f>INT(최종단가산출!L151/10)</f>
        <v>49074</v>
      </c>
    </row>
    <row r="13" spans="1:9" ht="24.75" customHeight="1">
      <c r="A13" s="246"/>
      <c r="B13" s="248"/>
      <c r="C13" s="258"/>
      <c r="D13" s="118" t="s">
        <v>112</v>
      </c>
      <c r="E13" s="260"/>
      <c r="F13" s="255"/>
      <c r="G13" s="119" t="s">
        <v>113</v>
      </c>
      <c r="H13" s="120" t="s">
        <v>114</v>
      </c>
      <c r="I13" s="122">
        <f>INT(최종단가산출!L170/10)</f>
        <v>56587</v>
      </c>
    </row>
    <row r="14" spans="1:9" ht="24.75" customHeight="1">
      <c r="A14" s="254" t="s">
        <v>205</v>
      </c>
      <c r="B14" s="278" t="s">
        <v>206</v>
      </c>
      <c r="C14" s="248" t="s">
        <v>115</v>
      </c>
      <c r="D14" s="117" t="s">
        <v>111</v>
      </c>
      <c r="E14" s="120" t="s">
        <v>116</v>
      </c>
      <c r="F14" s="254" t="s">
        <v>217</v>
      </c>
      <c r="G14" s="119" t="s">
        <v>107</v>
      </c>
      <c r="H14" s="120" t="s">
        <v>182</v>
      </c>
      <c r="I14" s="122">
        <f>INT(최종단가산출!L189/10)</f>
        <v>61791</v>
      </c>
    </row>
    <row r="15" spans="1:9" ht="24.75" customHeight="1">
      <c r="A15" s="255"/>
      <c r="B15" s="258"/>
      <c r="C15" s="248"/>
      <c r="D15" s="117" t="s">
        <v>117</v>
      </c>
      <c r="E15" s="144" t="s">
        <v>118</v>
      </c>
      <c r="F15" s="255"/>
      <c r="G15" s="244" t="s">
        <v>113</v>
      </c>
      <c r="H15" s="117" t="s">
        <v>119</v>
      </c>
      <c r="I15" s="121">
        <f>INT(최종단가산출!L208/10)</f>
        <v>69304</v>
      </c>
    </row>
    <row r="16" spans="1:9" ht="24.75" customHeight="1">
      <c r="A16" s="246" t="s">
        <v>120</v>
      </c>
      <c r="B16" s="248" t="s">
        <v>81</v>
      </c>
      <c r="C16" s="117" t="s">
        <v>121</v>
      </c>
      <c r="D16" s="117" t="s">
        <v>122</v>
      </c>
      <c r="E16" s="144" t="s">
        <v>116</v>
      </c>
      <c r="F16" s="118" t="s">
        <v>123</v>
      </c>
      <c r="G16" s="244"/>
      <c r="H16" s="117" t="s">
        <v>124</v>
      </c>
      <c r="I16" s="121">
        <f>INT(최종단가산출!L246/10)</f>
        <v>82021</v>
      </c>
    </row>
    <row r="17" spans="1:9" ht="24.75" customHeight="1" thickBot="1">
      <c r="A17" s="247"/>
      <c r="B17" s="249"/>
      <c r="C17" s="136" t="s">
        <v>127</v>
      </c>
      <c r="D17" s="116" t="s">
        <v>128</v>
      </c>
      <c r="E17" s="145" t="s">
        <v>118</v>
      </c>
      <c r="F17" s="143" t="s">
        <v>125</v>
      </c>
      <c r="G17" s="245"/>
      <c r="H17" s="116" t="s">
        <v>126</v>
      </c>
      <c r="I17" s="140">
        <f>INT(최종단가산출!L284/10)</f>
        <v>107454</v>
      </c>
    </row>
  </sheetData>
  <sheetProtection/>
  <mergeCells count="35">
    <mergeCell ref="A9:A11"/>
    <mergeCell ref="B9:B11"/>
    <mergeCell ref="C9:C11"/>
    <mergeCell ref="F9:F10"/>
    <mergeCell ref="A14:A15"/>
    <mergeCell ref="B14:B15"/>
    <mergeCell ref="F14:F15"/>
    <mergeCell ref="E9:E11"/>
    <mergeCell ref="D9:D10"/>
    <mergeCell ref="C14:C15"/>
    <mergeCell ref="A5:A8"/>
    <mergeCell ref="B5:B8"/>
    <mergeCell ref="C5:C8"/>
    <mergeCell ref="E5:E8"/>
    <mergeCell ref="D7:D8"/>
    <mergeCell ref="F6:F8"/>
    <mergeCell ref="A1:I1"/>
    <mergeCell ref="A3:A4"/>
    <mergeCell ref="B3:B4"/>
    <mergeCell ref="C3:C4"/>
    <mergeCell ref="D3:D4"/>
    <mergeCell ref="E3:E4"/>
    <mergeCell ref="F3:G3"/>
    <mergeCell ref="H3:H4"/>
    <mergeCell ref="I3:I4"/>
    <mergeCell ref="G15:G17"/>
    <mergeCell ref="A16:A17"/>
    <mergeCell ref="B16:B17"/>
    <mergeCell ref="G8:G12"/>
    <mergeCell ref="F11:F13"/>
    <mergeCell ref="G5:G6"/>
    <mergeCell ref="A12:A13"/>
    <mergeCell ref="B12:B13"/>
    <mergeCell ref="C12:C13"/>
    <mergeCell ref="E12:E13"/>
  </mergeCells>
  <printOptions/>
  <pageMargins left="0.8267716535433072" right="0.2755905511811024" top="1.299212598425197" bottom="0.984251968503937" header="0.5118110236220472" footer="0.5118110236220472"/>
  <pageSetup horizontalDpi="300" verticalDpi="300" orientation="landscape" paperSize="9" r:id="rId1"/>
  <headerFooter alignWithMargins="0">
    <oddHeader>&amp;L&amp;"굴림,보통"&amp;9&lt;자연표토복원공법&gt;&amp;R&amp;"굴림,보통"&amp;9&lt;2013년도 하반기 일위대가 적용&gt;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87"/>
  <sheetViews>
    <sheetView view="pageBreakPreview" zoomScale="70" zoomScaleNormal="70" zoomScaleSheetLayoutView="70" zoomScalePageLayoutView="70" workbookViewId="0" topLeftCell="A1">
      <selection activeCell="C10" sqref="C10"/>
    </sheetView>
  </sheetViews>
  <sheetFormatPr defaultColWidth="9.00390625" defaultRowHeight="14.25"/>
  <cols>
    <col min="1" max="1" width="16.625" style="77" customWidth="1"/>
    <col min="2" max="2" width="19.00390625" style="4" customWidth="1"/>
    <col min="3" max="3" width="12.625" style="78" customWidth="1"/>
    <col min="4" max="4" width="4.625" style="79" customWidth="1"/>
    <col min="5" max="12" width="13.625" style="94" customWidth="1"/>
    <col min="13" max="13" width="16.00390625" style="4" customWidth="1"/>
    <col min="14" max="16384" width="9.00390625" style="4" customWidth="1"/>
  </cols>
  <sheetData>
    <row r="1" spans="1:24" ht="30" customHeight="1" thickBot="1">
      <c r="A1" s="1" t="s">
        <v>0</v>
      </c>
      <c r="B1" s="1" t="s">
        <v>1</v>
      </c>
      <c r="C1" s="48" t="s">
        <v>2</v>
      </c>
      <c r="D1" s="1" t="s">
        <v>3</v>
      </c>
      <c r="E1" s="86" t="s">
        <v>4</v>
      </c>
      <c r="F1" s="87"/>
      <c r="G1" s="86" t="s">
        <v>5</v>
      </c>
      <c r="H1" s="87"/>
      <c r="I1" s="88" t="s">
        <v>6</v>
      </c>
      <c r="J1" s="89" t="s">
        <v>7</v>
      </c>
      <c r="K1" s="88" t="s">
        <v>8</v>
      </c>
      <c r="L1" s="89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0" customHeight="1" thickBot="1">
      <c r="A2" s="5"/>
      <c r="B2" s="6"/>
      <c r="C2" s="49"/>
      <c r="D2" s="6"/>
      <c r="E2" s="90" t="s">
        <v>11</v>
      </c>
      <c r="F2" s="90" t="s">
        <v>12</v>
      </c>
      <c r="G2" s="90" t="s">
        <v>11</v>
      </c>
      <c r="H2" s="90" t="s">
        <v>12</v>
      </c>
      <c r="I2" s="90" t="s">
        <v>11</v>
      </c>
      <c r="J2" s="90" t="s">
        <v>12</v>
      </c>
      <c r="K2" s="90" t="s">
        <v>11</v>
      </c>
      <c r="L2" s="90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0" customHeight="1">
      <c r="A3" s="17" t="s">
        <v>148</v>
      </c>
      <c r="B3" s="18"/>
      <c r="C3" s="18"/>
      <c r="D3" s="19"/>
      <c r="E3" s="83"/>
      <c r="F3" s="91"/>
      <c r="G3" s="91"/>
      <c r="H3" s="91"/>
      <c r="I3" s="91"/>
      <c r="J3" s="91"/>
      <c r="K3" s="91"/>
      <c r="L3" s="91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0" customHeight="1">
      <c r="A4" s="21" t="s">
        <v>77</v>
      </c>
      <c r="B4" s="240" t="s">
        <v>200</v>
      </c>
      <c r="C4" s="23">
        <v>55</v>
      </c>
      <c r="D4" s="22" t="s">
        <v>31</v>
      </c>
      <c r="E4" s="84">
        <f>등재사항!E5</f>
        <v>840</v>
      </c>
      <c r="F4" s="84">
        <f aca="true" t="shared" si="0" ref="F4:F14">INT(E4*C4)</f>
        <v>46200</v>
      </c>
      <c r="G4" s="83"/>
      <c r="H4" s="83">
        <f aca="true" t="shared" si="1" ref="H4:H14">INT(G4*C4)</f>
        <v>0</v>
      </c>
      <c r="I4" s="83"/>
      <c r="J4" s="83">
        <f aca="true" t="shared" si="2" ref="J4:J14">INT(I4*C4)</f>
        <v>0</v>
      </c>
      <c r="K4" s="84">
        <f aca="true" t="shared" si="3" ref="K4:K9">E4+G4+I4</f>
        <v>840</v>
      </c>
      <c r="L4" s="84">
        <f aca="true" t="shared" si="4" ref="L4:L16">+J4+H4+F4</f>
        <v>46200</v>
      </c>
      <c r="M4" s="61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0" customHeight="1">
      <c r="A5" s="21" t="s">
        <v>78</v>
      </c>
      <c r="B5" s="45" t="s">
        <v>46</v>
      </c>
      <c r="C5" s="23">
        <v>10</v>
      </c>
      <c r="D5" s="22" t="s">
        <v>32</v>
      </c>
      <c r="E5" s="84">
        <f>등재사항!E11</f>
        <v>40</v>
      </c>
      <c r="F5" s="84">
        <f t="shared" si="0"/>
        <v>400</v>
      </c>
      <c r="G5" s="83"/>
      <c r="H5" s="83">
        <f t="shared" si="1"/>
        <v>0</v>
      </c>
      <c r="I5" s="83"/>
      <c r="J5" s="83">
        <f t="shared" si="2"/>
        <v>0</v>
      </c>
      <c r="K5" s="84">
        <f t="shared" si="3"/>
        <v>40</v>
      </c>
      <c r="L5" s="84">
        <f t="shared" si="4"/>
        <v>400</v>
      </c>
      <c r="M5" s="61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0" customHeight="1">
      <c r="A6" s="21" t="s">
        <v>202</v>
      </c>
      <c r="B6" s="45" t="s">
        <v>201</v>
      </c>
      <c r="C6" s="23">
        <v>0.2</v>
      </c>
      <c r="D6" s="22" t="s">
        <v>33</v>
      </c>
      <c r="E6" s="84">
        <f>등재사항!E13</f>
        <v>170000</v>
      </c>
      <c r="F6" s="84">
        <f t="shared" si="0"/>
        <v>34000</v>
      </c>
      <c r="G6" s="83"/>
      <c r="H6" s="83">
        <f t="shared" si="1"/>
        <v>0</v>
      </c>
      <c r="I6" s="83"/>
      <c r="J6" s="83">
        <f t="shared" si="2"/>
        <v>0</v>
      </c>
      <c r="K6" s="84">
        <f t="shared" si="3"/>
        <v>170000</v>
      </c>
      <c r="L6" s="84">
        <f t="shared" si="4"/>
        <v>34000</v>
      </c>
      <c r="M6" s="62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0" customHeight="1">
      <c r="A7" s="21" t="s">
        <v>15</v>
      </c>
      <c r="B7" s="22"/>
      <c r="C7" s="69">
        <v>0.019</v>
      </c>
      <c r="D7" s="22" t="s">
        <v>16</v>
      </c>
      <c r="E7" s="83"/>
      <c r="F7" s="83">
        <f t="shared" si="0"/>
        <v>0</v>
      </c>
      <c r="G7" s="46">
        <f>단가산출근거!C17</f>
        <v>105826</v>
      </c>
      <c r="H7" s="84">
        <f t="shared" si="1"/>
        <v>2010</v>
      </c>
      <c r="I7" s="83"/>
      <c r="J7" s="83">
        <f t="shared" si="2"/>
        <v>0</v>
      </c>
      <c r="K7" s="84">
        <f>E7+G7+I7</f>
        <v>105826</v>
      </c>
      <c r="L7" s="84">
        <f t="shared" si="4"/>
        <v>2010</v>
      </c>
      <c r="M7" s="4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0" customHeight="1">
      <c r="A8" s="21" t="s">
        <v>17</v>
      </c>
      <c r="B8" s="22"/>
      <c r="C8" s="69">
        <v>0.037</v>
      </c>
      <c r="D8" s="22" t="s">
        <v>16</v>
      </c>
      <c r="E8" s="83"/>
      <c r="F8" s="83">
        <f t="shared" si="0"/>
        <v>0</v>
      </c>
      <c r="G8" s="46">
        <f>단가산출근거!C19</f>
        <v>102334</v>
      </c>
      <c r="H8" s="84">
        <f t="shared" si="1"/>
        <v>3786</v>
      </c>
      <c r="I8" s="83"/>
      <c r="J8" s="83">
        <f t="shared" si="2"/>
        <v>0</v>
      </c>
      <c r="K8" s="84">
        <f>E8+G8+I8</f>
        <v>102334</v>
      </c>
      <c r="L8" s="84">
        <f t="shared" si="4"/>
        <v>3786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0" customHeight="1">
      <c r="A9" s="21" t="s">
        <v>18</v>
      </c>
      <c r="B9" s="22"/>
      <c r="C9" s="69">
        <v>0.123</v>
      </c>
      <c r="D9" s="22" t="s">
        <v>16</v>
      </c>
      <c r="E9" s="83"/>
      <c r="F9" s="83">
        <f t="shared" si="0"/>
        <v>0</v>
      </c>
      <c r="G9" s="46">
        <f>단가산출근거!C20</f>
        <v>84166</v>
      </c>
      <c r="H9" s="84">
        <f t="shared" si="1"/>
        <v>10352</v>
      </c>
      <c r="I9" s="83"/>
      <c r="J9" s="83">
        <f t="shared" si="2"/>
        <v>0</v>
      </c>
      <c r="K9" s="84">
        <f t="shared" si="3"/>
        <v>84166</v>
      </c>
      <c r="L9" s="84">
        <f t="shared" si="4"/>
        <v>10352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0" customHeight="1">
      <c r="A10" s="21" t="s">
        <v>34</v>
      </c>
      <c r="B10" s="22" t="s">
        <v>47</v>
      </c>
      <c r="C10" s="69">
        <v>0.072</v>
      </c>
      <c r="D10" s="22" t="s">
        <v>30</v>
      </c>
      <c r="E10" s="84">
        <f>단가산출근거!E28</f>
        <v>11166</v>
      </c>
      <c r="F10" s="84">
        <f t="shared" si="0"/>
        <v>803</v>
      </c>
      <c r="G10" s="84">
        <f>단가산출근거!E29</f>
        <v>18695</v>
      </c>
      <c r="H10" s="84">
        <f t="shared" si="1"/>
        <v>1346</v>
      </c>
      <c r="I10" s="84">
        <f>단가산출근거!E26</f>
        <v>71731</v>
      </c>
      <c r="J10" s="84">
        <f t="shared" si="2"/>
        <v>5164</v>
      </c>
      <c r="K10" s="84">
        <f>E10+G10+I10</f>
        <v>101592</v>
      </c>
      <c r="L10" s="84">
        <f t="shared" si="4"/>
        <v>7313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0" customHeight="1">
      <c r="A11" s="21" t="s">
        <v>35</v>
      </c>
      <c r="B11" s="22" t="s">
        <v>36</v>
      </c>
      <c r="C11" s="69">
        <v>0.072</v>
      </c>
      <c r="D11" s="22" t="s">
        <v>30</v>
      </c>
      <c r="E11" s="84">
        <f>단가산출근거!E34</f>
        <v>8898</v>
      </c>
      <c r="F11" s="84">
        <f t="shared" si="0"/>
        <v>640</v>
      </c>
      <c r="G11" s="84">
        <f>단가산출근거!E35</f>
        <v>21911</v>
      </c>
      <c r="H11" s="84">
        <f t="shared" si="1"/>
        <v>1577</v>
      </c>
      <c r="I11" s="84">
        <f>단가산출근거!E32</f>
        <v>10362</v>
      </c>
      <c r="J11" s="84">
        <f t="shared" si="2"/>
        <v>746</v>
      </c>
      <c r="K11" s="84">
        <f>E11+G11+I11</f>
        <v>41171</v>
      </c>
      <c r="L11" s="84">
        <f t="shared" si="4"/>
        <v>2963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21" t="s">
        <v>48</v>
      </c>
      <c r="B12" s="22" t="s">
        <v>37</v>
      </c>
      <c r="C12" s="69">
        <v>0.072</v>
      </c>
      <c r="D12" s="22" t="s">
        <v>30</v>
      </c>
      <c r="E12" s="84">
        <f>단가산출근거!E40</f>
        <v>16052</v>
      </c>
      <c r="F12" s="84">
        <f t="shared" si="0"/>
        <v>1155</v>
      </c>
      <c r="G12" s="84">
        <f>단가산출근거!E41</f>
        <v>21911</v>
      </c>
      <c r="H12" s="84">
        <f t="shared" si="1"/>
        <v>1577</v>
      </c>
      <c r="I12" s="84">
        <f>단가산출근거!E38</f>
        <v>6117</v>
      </c>
      <c r="J12" s="84">
        <f t="shared" si="2"/>
        <v>440</v>
      </c>
      <c r="K12" s="84">
        <f>E12+G12+I12</f>
        <v>44080</v>
      </c>
      <c r="L12" s="84">
        <f t="shared" si="4"/>
        <v>3172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 customHeight="1">
      <c r="A13" s="21" t="s">
        <v>38</v>
      </c>
      <c r="B13" s="22" t="s">
        <v>39</v>
      </c>
      <c r="C13" s="69">
        <v>0.362</v>
      </c>
      <c r="D13" s="22" t="s">
        <v>30</v>
      </c>
      <c r="E13" s="84">
        <f>단가산출근거!E47</f>
        <v>17578</v>
      </c>
      <c r="F13" s="84">
        <f t="shared" si="0"/>
        <v>6363</v>
      </c>
      <c r="G13" s="84">
        <f>단가산출근거!E48</f>
        <v>21911</v>
      </c>
      <c r="H13" s="84">
        <f t="shared" si="1"/>
        <v>7931</v>
      </c>
      <c r="I13" s="84">
        <f>단가산출근거!E45</f>
        <v>7823</v>
      </c>
      <c r="J13" s="84">
        <f t="shared" si="2"/>
        <v>2831</v>
      </c>
      <c r="K13" s="84">
        <f>E13+G13+I13</f>
        <v>47312</v>
      </c>
      <c r="L13" s="84">
        <f t="shared" si="4"/>
        <v>17125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 customHeight="1">
      <c r="A14" s="21" t="s">
        <v>40</v>
      </c>
      <c r="B14" s="22" t="s">
        <v>41</v>
      </c>
      <c r="C14" s="69">
        <v>0.072</v>
      </c>
      <c r="D14" s="22" t="s">
        <v>30</v>
      </c>
      <c r="E14" s="83"/>
      <c r="F14" s="83">
        <f t="shared" si="0"/>
        <v>0</v>
      </c>
      <c r="G14" s="83"/>
      <c r="H14" s="83">
        <f t="shared" si="1"/>
        <v>0</v>
      </c>
      <c r="I14" s="84">
        <f>단가산출근거!E51</f>
        <v>77</v>
      </c>
      <c r="J14" s="84">
        <f t="shared" si="2"/>
        <v>5</v>
      </c>
      <c r="K14" s="84">
        <f>E14+G14+I14</f>
        <v>77</v>
      </c>
      <c r="L14" s="84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" customHeight="1">
      <c r="A15" s="25" t="s">
        <v>19</v>
      </c>
      <c r="B15" s="26" t="s">
        <v>20</v>
      </c>
      <c r="C15" s="70">
        <v>1</v>
      </c>
      <c r="D15" s="26" t="s">
        <v>21</v>
      </c>
      <c r="E15" s="82"/>
      <c r="F15" s="84">
        <f>INT(SUM(F4:F14)*0.03)</f>
        <v>2686</v>
      </c>
      <c r="G15" s="82"/>
      <c r="H15" s="82">
        <v>0</v>
      </c>
      <c r="I15" s="92"/>
      <c r="J15" s="92">
        <v>0</v>
      </c>
      <c r="K15" s="92"/>
      <c r="L15" s="84">
        <f t="shared" si="4"/>
        <v>2686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0" customHeight="1">
      <c r="A16" s="25" t="s">
        <v>258</v>
      </c>
      <c r="B16" s="26" t="s">
        <v>43</v>
      </c>
      <c r="C16" s="70">
        <v>1</v>
      </c>
      <c r="D16" s="26" t="s">
        <v>21</v>
      </c>
      <c r="E16" s="82"/>
      <c r="F16" s="84">
        <f>INT(SUM(H4:H14)*0.02)</f>
        <v>571</v>
      </c>
      <c r="G16" s="82"/>
      <c r="H16" s="84">
        <v>0</v>
      </c>
      <c r="I16" s="92"/>
      <c r="J16" s="92">
        <v>0</v>
      </c>
      <c r="K16" s="92"/>
      <c r="L16" s="84">
        <f t="shared" si="4"/>
        <v>571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0" customHeight="1">
      <c r="A17" s="25" t="s">
        <v>49</v>
      </c>
      <c r="B17" s="26"/>
      <c r="C17" s="27"/>
      <c r="D17" s="26"/>
      <c r="E17" s="82"/>
      <c r="F17" s="92">
        <f>SUM(F4:F16)</f>
        <v>92818</v>
      </c>
      <c r="G17" s="82"/>
      <c r="H17" s="92">
        <f>SUM(H4:H16)</f>
        <v>28579</v>
      </c>
      <c r="I17" s="92"/>
      <c r="J17" s="92">
        <f>SUM(J4:J16)</f>
        <v>9186</v>
      </c>
      <c r="K17" s="92"/>
      <c r="L17" s="92">
        <f>SUM(L4:L16)</f>
        <v>130583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0" customHeight="1">
      <c r="A18" s="25"/>
      <c r="B18" s="26"/>
      <c r="C18" s="27"/>
      <c r="D18" s="26"/>
      <c r="E18" s="82"/>
      <c r="F18" s="92"/>
      <c r="G18" s="82"/>
      <c r="H18" s="92"/>
      <c r="I18" s="92"/>
      <c r="J18" s="92"/>
      <c r="K18" s="92"/>
      <c r="L18" s="92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0" customHeight="1">
      <c r="A19" s="25"/>
      <c r="B19" s="26"/>
      <c r="C19" s="27"/>
      <c r="D19" s="26"/>
      <c r="E19" s="82"/>
      <c r="F19" s="92"/>
      <c r="G19" s="82"/>
      <c r="H19" s="92"/>
      <c r="I19" s="92"/>
      <c r="J19" s="92"/>
      <c r="K19" s="92"/>
      <c r="L19" s="92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0" customHeight="1">
      <c r="A20" s="25"/>
      <c r="B20" s="26"/>
      <c r="C20" s="27"/>
      <c r="D20" s="26"/>
      <c r="E20" s="82"/>
      <c r="F20" s="82"/>
      <c r="G20" s="82"/>
      <c r="H20" s="82"/>
      <c r="I20" s="82"/>
      <c r="J20" s="82"/>
      <c r="K20" s="82"/>
      <c r="L20" s="82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0" customHeight="1" thickBot="1">
      <c r="A21" s="29"/>
      <c r="B21" s="30"/>
      <c r="C21" s="31"/>
      <c r="D21" s="30"/>
      <c r="E21" s="93"/>
      <c r="F21" s="93"/>
      <c r="G21" s="93"/>
      <c r="H21" s="93"/>
      <c r="I21" s="93"/>
      <c r="J21" s="93"/>
      <c r="K21" s="93"/>
      <c r="L21" s="9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13" ht="30" customHeight="1">
      <c r="A22" s="17" t="s">
        <v>149</v>
      </c>
      <c r="B22" s="18"/>
      <c r="C22" s="52"/>
      <c r="D22" s="19"/>
      <c r="E22" s="83"/>
      <c r="F22" s="91"/>
      <c r="G22" s="91"/>
      <c r="H22" s="91"/>
      <c r="I22" s="91"/>
      <c r="J22" s="91"/>
      <c r="K22" s="91"/>
      <c r="L22" s="91"/>
      <c r="M22" s="20"/>
    </row>
    <row r="23" spans="1:13" ht="30" customHeight="1">
      <c r="A23" s="21" t="s">
        <v>77</v>
      </c>
      <c r="B23" s="213" t="str">
        <f>B4</f>
        <v>HI - 그린</v>
      </c>
      <c r="C23" s="47">
        <v>110</v>
      </c>
      <c r="D23" s="22" t="s">
        <v>31</v>
      </c>
      <c r="E23" s="84">
        <f>등재사항!E5</f>
        <v>840</v>
      </c>
      <c r="F23" s="84">
        <f aca="true" t="shared" si="5" ref="F23:F33">INT(E23*C23)</f>
        <v>92400</v>
      </c>
      <c r="G23" s="83"/>
      <c r="H23" s="83">
        <f aca="true" t="shared" si="6" ref="H23:H33">INT(G23*C23)</f>
        <v>0</v>
      </c>
      <c r="I23" s="83"/>
      <c r="J23" s="83">
        <f aca="true" t="shared" si="7" ref="J23:J33">INT(I23*C23)</f>
        <v>0</v>
      </c>
      <c r="K23" s="84">
        <f aca="true" t="shared" si="8" ref="K23:K28">E23+G23+I23</f>
        <v>840</v>
      </c>
      <c r="L23" s="84">
        <f aca="true" t="shared" si="9" ref="L23:L35">+J23+H23+F23</f>
        <v>92400</v>
      </c>
      <c r="M23" s="61"/>
    </row>
    <row r="24" spans="1:13" ht="30" customHeight="1">
      <c r="A24" s="21" t="s">
        <v>78</v>
      </c>
      <c r="B24" s="45" t="s">
        <v>46</v>
      </c>
      <c r="C24" s="47">
        <v>20</v>
      </c>
      <c r="D24" s="22" t="s">
        <v>32</v>
      </c>
      <c r="E24" s="84">
        <f>등재사항!E11</f>
        <v>40</v>
      </c>
      <c r="F24" s="84">
        <f t="shared" si="5"/>
        <v>800</v>
      </c>
      <c r="G24" s="83"/>
      <c r="H24" s="83">
        <f t="shared" si="6"/>
        <v>0</v>
      </c>
      <c r="I24" s="83"/>
      <c r="J24" s="83">
        <f t="shared" si="7"/>
        <v>0</v>
      </c>
      <c r="K24" s="84">
        <f t="shared" si="8"/>
        <v>40</v>
      </c>
      <c r="L24" s="84">
        <f t="shared" si="9"/>
        <v>800</v>
      </c>
      <c r="M24" s="61"/>
    </row>
    <row r="25" spans="1:13" ht="30" customHeight="1">
      <c r="A25" s="21" t="str">
        <f>A6</f>
        <v>배합종자</v>
      </c>
      <c r="B25" s="45" t="str">
        <f>B6</f>
        <v>표준형</v>
      </c>
      <c r="C25" s="47">
        <v>0.2</v>
      </c>
      <c r="D25" s="22" t="s">
        <v>33</v>
      </c>
      <c r="E25" s="84">
        <f>등재사항!E13</f>
        <v>170000</v>
      </c>
      <c r="F25" s="84">
        <f t="shared" si="5"/>
        <v>34000</v>
      </c>
      <c r="G25" s="83"/>
      <c r="H25" s="83">
        <f t="shared" si="6"/>
        <v>0</v>
      </c>
      <c r="I25" s="83"/>
      <c r="J25" s="83">
        <f t="shared" si="7"/>
        <v>0</v>
      </c>
      <c r="K25" s="84">
        <f t="shared" si="8"/>
        <v>170000</v>
      </c>
      <c r="L25" s="84">
        <f t="shared" si="9"/>
        <v>34000</v>
      </c>
      <c r="M25" s="62"/>
    </row>
    <row r="26" spans="1:13" ht="30" customHeight="1">
      <c r="A26" s="21" t="s">
        <v>15</v>
      </c>
      <c r="B26" s="22"/>
      <c r="C26" s="71">
        <v>0.025</v>
      </c>
      <c r="D26" s="22" t="s">
        <v>16</v>
      </c>
      <c r="E26" s="83"/>
      <c r="F26" s="83">
        <f t="shared" si="5"/>
        <v>0</v>
      </c>
      <c r="G26" s="46">
        <f>단가산출근거!C17</f>
        <v>105826</v>
      </c>
      <c r="H26" s="84">
        <f t="shared" si="6"/>
        <v>2645</v>
      </c>
      <c r="I26" s="83"/>
      <c r="J26" s="83">
        <f t="shared" si="7"/>
        <v>0</v>
      </c>
      <c r="K26" s="84">
        <f t="shared" si="8"/>
        <v>105826</v>
      </c>
      <c r="L26" s="84">
        <f t="shared" si="9"/>
        <v>2645</v>
      </c>
      <c r="M26" s="43"/>
    </row>
    <row r="27" spans="1:13" ht="30" customHeight="1">
      <c r="A27" s="21" t="s">
        <v>17</v>
      </c>
      <c r="B27" s="22"/>
      <c r="C27" s="71">
        <v>0.049</v>
      </c>
      <c r="D27" s="22" t="s">
        <v>16</v>
      </c>
      <c r="E27" s="83"/>
      <c r="F27" s="83">
        <f t="shared" si="5"/>
        <v>0</v>
      </c>
      <c r="G27" s="46">
        <f>단가산출근거!C19</f>
        <v>102334</v>
      </c>
      <c r="H27" s="84">
        <f t="shared" si="6"/>
        <v>5014</v>
      </c>
      <c r="I27" s="83"/>
      <c r="J27" s="83">
        <f t="shared" si="7"/>
        <v>0</v>
      </c>
      <c r="K27" s="84">
        <f t="shared" si="8"/>
        <v>102334</v>
      </c>
      <c r="L27" s="84">
        <f t="shared" si="9"/>
        <v>5014</v>
      </c>
      <c r="M27" s="24"/>
    </row>
    <row r="28" spans="1:13" ht="30" customHeight="1">
      <c r="A28" s="21" t="s">
        <v>18</v>
      </c>
      <c r="B28" s="22"/>
      <c r="C28" s="71">
        <v>0.145</v>
      </c>
      <c r="D28" s="22" t="s">
        <v>16</v>
      </c>
      <c r="E28" s="83"/>
      <c r="F28" s="83">
        <f t="shared" si="5"/>
        <v>0</v>
      </c>
      <c r="G28" s="46">
        <f>단가산출근거!C20</f>
        <v>84166</v>
      </c>
      <c r="H28" s="84">
        <f t="shared" si="6"/>
        <v>12204</v>
      </c>
      <c r="I28" s="83"/>
      <c r="J28" s="83">
        <f t="shared" si="7"/>
        <v>0</v>
      </c>
      <c r="K28" s="84">
        <f t="shared" si="8"/>
        <v>84166</v>
      </c>
      <c r="L28" s="84">
        <f t="shared" si="9"/>
        <v>12204</v>
      </c>
      <c r="M28" s="24"/>
    </row>
    <row r="29" spans="1:13" ht="30" customHeight="1">
      <c r="A29" s="21" t="s">
        <v>34</v>
      </c>
      <c r="B29" s="22" t="s">
        <v>47</v>
      </c>
      <c r="C29" s="71">
        <v>0.147</v>
      </c>
      <c r="D29" s="22" t="s">
        <v>30</v>
      </c>
      <c r="E29" s="84">
        <f>단가산출근거!E28</f>
        <v>11166</v>
      </c>
      <c r="F29" s="84">
        <f t="shared" si="5"/>
        <v>1641</v>
      </c>
      <c r="G29" s="84">
        <f>단가산출근거!E29</f>
        <v>18695</v>
      </c>
      <c r="H29" s="84">
        <f t="shared" si="6"/>
        <v>2748</v>
      </c>
      <c r="I29" s="84">
        <f>단가산출근거!E26</f>
        <v>71731</v>
      </c>
      <c r="J29" s="84">
        <f t="shared" si="7"/>
        <v>10544</v>
      </c>
      <c r="K29" s="84">
        <f>E29+G29+I29</f>
        <v>101592</v>
      </c>
      <c r="L29" s="84">
        <f t="shared" si="9"/>
        <v>14933</v>
      </c>
      <c r="M29" s="24"/>
    </row>
    <row r="30" spans="1:13" ht="30" customHeight="1">
      <c r="A30" s="21" t="s">
        <v>35</v>
      </c>
      <c r="B30" s="22" t="s">
        <v>36</v>
      </c>
      <c r="C30" s="71">
        <v>0.147</v>
      </c>
      <c r="D30" s="22" t="s">
        <v>30</v>
      </c>
      <c r="E30" s="84">
        <f>단가산출근거!E34</f>
        <v>8898</v>
      </c>
      <c r="F30" s="84">
        <f t="shared" si="5"/>
        <v>1308</v>
      </c>
      <c r="G30" s="84">
        <f>단가산출근거!E35</f>
        <v>21911</v>
      </c>
      <c r="H30" s="84">
        <f t="shared" si="6"/>
        <v>3220</v>
      </c>
      <c r="I30" s="84">
        <f>단가산출근거!E32</f>
        <v>10362</v>
      </c>
      <c r="J30" s="84">
        <f t="shared" si="7"/>
        <v>1523</v>
      </c>
      <c r="K30" s="84">
        <f>E30+G30+I30</f>
        <v>41171</v>
      </c>
      <c r="L30" s="84">
        <f t="shared" si="9"/>
        <v>6051</v>
      </c>
      <c r="M30" s="24"/>
    </row>
    <row r="31" spans="1:13" ht="30" customHeight="1">
      <c r="A31" s="21" t="s">
        <v>45</v>
      </c>
      <c r="B31" s="22" t="s">
        <v>37</v>
      </c>
      <c r="C31" s="71">
        <v>0.147</v>
      </c>
      <c r="D31" s="22" t="s">
        <v>30</v>
      </c>
      <c r="E31" s="84">
        <f>단가산출근거!E40</f>
        <v>16052</v>
      </c>
      <c r="F31" s="84">
        <f t="shared" si="5"/>
        <v>2359</v>
      </c>
      <c r="G31" s="84">
        <f>단가산출근거!E41</f>
        <v>21911</v>
      </c>
      <c r="H31" s="84">
        <f t="shared" si="6"/>
        <v>3220</v>
      </c>
      <c r="I31" s="84">
        <f>단가산출근거!E38</f>
        <v>6117</v>
      </c>
      <c r="J31" s="84">
        <f t="shared" si="7"/>
        <v>899</v>
      </c>
      <c r="K31" s="84">
        <f>E31+G31+I31</f>
        <v>44080</v>
      </c>
      <c r="L31" s="84">
        <f t="shared" si="9"/>
        <v>6478</v>
      </c>
      <c r="M31" s="24"/>
    </row>
    <row r="32" spans="1:13" ht="30" customHeight="1">
      <c r="A32" s="21" t="s">
        <v>38</v>
      </c>
      <c r="B32" s="22" t="s">
        <v>39</v>
      </c>
      <c r="C32" s="71">
        <v>0.432</v>
      </c>
      <c r="D32" s="22" t="s">
        <v>30</v>
      </c>
      <c r="E32" s="84">
        <f>단가산출근거!E47</f>
        <v>17578</v>
      </c>
      <c r="F32" s="84">
        <f t="shared" si="5"/>
        <v>7593</v>
      </c>
      <c r="G32" s="84">
        <f>단가산출근거!E48</f>
        <v>21911</v>
      </c>
      <c r="H32" s="84">
        <f t="shared" si="6"/>
        <v>9465</v>
      </c>
      <c r="I32" s="84">
        <f>단가산출근거!E45</f>
        <v>7823</v>
      </c>
      <c r="J32" s="84">
        <f t="shared" si="7"/>
        <v>3379</v>
      </c>
      <c r="K32" s="84">
        <f>E32+G32+I32</f>
        <v>47312</v>
      </c>
      <c r="L32" s="84">
        <f t="shared" si="9"/>
        <v>20437</v>
      </c>
      <c r="M32" s="24"/>
    </row>
    <row r="33" spans="1:13" ht="30" customHeight="1">
      <c r="A33" s="21" t="s">
        <v>40</v>
      </c>
      <c r="B33" s="22" t="s">
        <v>41</v>
      </c>
      <c r="C33" s="71">
        <v>0.147</v>
      </c>
      <c r="D33" s="22" t="s">
        <v>30</v>
      </c>
      <c r="E33" s="83"/>
      <c r="F33" s="83">
        <f t="shared" si="5"/>
        <v>0</v>
      </c>
      <c r="G33" s="83"/>
      <c r="H33" s="83">
        <f t="shared" si="6"/>
        <v>0</v>
      </c>
      <c r="I33" s="84">
        <f>I14</f>
        <v>77</v>
      </c>
      <c r="J33" s="84">
        <f t="shared" si="7"/>
        <v>11</v>
      </c>
      <c r="K33" s="84">
        <f>E33+G33+I33</f>
        <v>77</v>
      </c>
      <c r="L33" s="84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59">
        <v>1</v>
      </c>
      <c r="D34" s="26" t="s">
        <v>21</v>
      </c>
      <c r="E34" s="82"/>
      <c r="F34" s="84">
        <f>INT(SUM(F23:F33)*0.03)</f>
        <v>4203</v>
      </c>
      <c r="G34" s="82"/>
      <c r="H34" s="82"/>
      <c r="I34" s="92"/>
      <c r="J34" s="92"/>
      <c r="K34" s="92"/>
      <c r="L34" s="84">
        <f t="shared" si="9"/>
        <v>4203</v>
      </c>
      <c r="M34" s="28"/>
    </row>
    <row r="35" spans="1:13" ht="30" customHeight="1">
      <c r="A35" s="25" t="s">
        <v>42</v>
      </c>
      <c r="B35" s="26" t="s">
        <v>43</v>
      </c>
      <c r="C35" s="59">
        <v>1</v>
      </c>
      <c r="D35" s="26" t="s">
        <v>21</v>
      </c>
      <c r="E35" s="82"/>
      <c r="F35" s="84">
        <f>INT(SUM(H23:H33)*0.02)</f>
        <v>770</v>
      </c>
      <c r="G35" s="82"/>
      <c r="H35" s="84"/>
      <c r="I35" s="92"/>
      <c r="J35" s="92"/>
      <c r="K35" s="92"/>
      <c r="L35" s="84">
        <f t="shared" si="9"/>
        <v>770</v>
      </c>
      <c r="M35" s="28"/>
    </row>
    <row r="36" spans="1:13" ht="30" customHeight="1">
      <c r="A36" s="25" t="s">
        <v>49</v>
      </c>
      <c r="B36" s="26"/>
      <c r="C36" s="53"/>
      <c r="D36" s="26"/>
      <c r="E36" s="82"/>
      <c r="F36" s="92">
        <f>SUM(F23:F35)</f>
        <v>145074</v>
      </c>
      <c r="G36" s="82"/>
      <c r="H36" s="92">
        <f>SUM(H23:H35)</f>
        <v>38516</v>
      </c>
      <c r="I36" s="92"/>
      <c r="J36" s="92">
        <f>SUM(J23:J35)</f>
        <v>16356</v>
      </c>
      <c r="K36" s="92"/>
      <c r="L36" s="92">
        <f>SUM(L23:L35)</f>
        <v>199946</v>
      </c>
      <c r="M36" s="28"/>
    </row>
    <row r="37" spans="1:13" ht="30" customHeight="1">
      <c r="A37" s="25"/>
      <c r="B37" s="26"/>
      <c r="C37" s="53"/>
      <c r="D37" s="26"/>
      <c r="E37" s="82"/>
      <c r="F37" s="92"/>
      <c r="G37" s="82"/>
      <c r="H37" s="92"/>
      <c r="I37" s="92"/>
      <c r="J37" s="92"/>
      <c r="K37" s="92"/>
      <c r="L37" s="92"/>
      <c r="M37" s="28"/>
    </row>
    <row r="38" spans="1:13" ht="30" customHeight="1">
      <c r="A38" s="25"/>
      <c r="B38" s="26"/>
      <c r="C38" s="53"/>
      <c r="D38" s="26"/>
      <c r="E38" s="82"/>
      <c r="F38" s="92"/>
      <c r="G38" s="82"/>
      <c r="H38" s="92"/>
      <c r="I38" s="92"/>
      <c r="J38" s="92"/>
      <c r="K38" s="92"/>
      <c r="L38" s="92"/>
      <c r="M38" s="28"/>
    </row>
    <row r="39" spans="1:13" ht="30" customHeight="1">
      <c r="A39" s="25"/>
      <c r="B39" s="26"/>
      <c r="C39" s="53"/>
      <c r="D39" s="26"/>
      <c r="E39" s="82"/>
      <c r="F39" s="92"/>
      <c r="G39" s="92"/>
      <c r="H39" s="92"/>
      <c r="I39" s="92"/>
      <c r="J39" s="92"/>
      <c r="K39" s="92"/>
      <c r="L39" s="92"/>
      <c r="M39" s="28"/>
    </row>
    <row r="40" spans="1:13" ht="30" customHeight="1" thickBot="1">
      <c r="A40" s="29"/>
      <c r="B40" s="30"/>
      <c r="C40" s="51"/>
      <c r="D40" s="30"/>
      <c r="E40" s="93"/>
      <c r="F40" s="93"/>
      <c r="G40" s="93"/>
      <c r="H40" s="93"/>
      <c r="I40" s="93"/>
      <c r="J40" s="93"/>
      <c r="K40" s="93"/>
      <c r="L40" s="93"/>
      <c r="M40" s="32"/>
    </row>
    <row r="41" spans="1:13" ht="31.5" customHeight="1">
      <c r="A41" s="17" t="s">
        <v>150</v>
      </c>
      <c r="B41" s="18"/>
      <c r="C41" s="52"/>
      <c r="D41" s="19"/>
      <c r="E41" s="83"/>
      <c r="F41" s="91"/>
      <c r="G41" s="91"/>
      <c r="H41" s="91"/>
      <c r="I41" s="91"/>
      <c r="J41" s="91"/>
      <c r="K41" s="91"/>
      <c r="L41" s="91"/>
      <c r="M41" s="20"/>
    </row>
    <row r="42" spans="1:13" ht="30" customHeight="1">
      <c r="A42" s="21" t="s">
        <v>77</v>
      </c>
      <c r="B42" s="213" t="str">
        <f>B23</f>
        <v>HI - 그린</v>
      </c>
      <c r="C42" s="47">
        <v>110</v>
      </c>
      <c r="D42" s="22" t="s">
        <v>31</v>
      </c>
      <c r="E42" s="84">
        <f>E23</f>
        <v>840</v>
      </c>
      <c r="F42" s="84">
        <f aca="true" t="shared" si="10" ref="F42:F52">INT(E42*C42)</f>
        <v>92400</v>
      </c>
      <c r="G42" s="83"/>
      <c r="H42" s="83">
        <f aca="true" t="shared" si="11" ref="H42:H52">INT(G42*C42)</f>
        <v>0</v>
      </c>
      <c r="I42" s="83"/>
      <c r="J42" s="83">
        <f aca="true" t="shared" si="12" ref="J42:J52">INT(I42*C42)</f>
        <v>0</v>
      </c>
      <c r="K42" s="84">
        <f aca="true" t="shared" si="13" ref="K42:K52">E42+G42+I42</f>
        <v>840</v>
      </c>
      <c r="L42" s="84">
        <f aca="true" t="shared" si="14" ref="L42:L54">+J42+H42+F42</f>
        <v>92400</v>
      </c>
      <c r="M42" s="61"/>
    </row>
    <row r="43" spans="1:13" ht="30" customHeight="1">
      <c r="A43" s="21" t="s">
        <v>78</v>
      </c>
      <c r="B43" s="45" t="s">
        <v>46</v>
      </c>
      <c r="C43" s="47">
        <v>20</v>
      </c>
      <c r="D43" s="22" t="s">
        <v>32</v>
      </c>
      <c r="E43" s="84">
        <f>E24</f>
        <v>40</v>
      </c>
      <c r="F43" s="84">
        <f t="shared" si="10"/>
        <v>800</v>
      </c>
      <c r="G43" s="83"/>
      <c r="H43" s="83">
        <f t="shared" si="11"/>
        <v>0</v>
      </c>
      <c r="I43" s="83"/>
      <c r="J43" s="83">
        <f t="shared" si="12"/>
        <v>0</v>
      </c>
      <c r="K43" s="84">
        <f t="shared" si="13"/>
        <v>40</v>
      </c>
      <c r="L43" s="84">
        <f t="shared" si="14"/>
        <v>800</v>
      </c>
      <c r="M43" s="61"/>
    </row>
    <row r="44" spans="1:13" ht="30" customHeight="1">
      <c r="A44" s="21" t="str">
        <f>A25</f>
        <v>배합종자</v>
      </c>
      <c r="B44" s="45" t="str">
        <f>B25</f>
        <v>표준형</v>
      </c>
      <c r="C44" s="47">
        <v>0.2</v>
      </c>
      <c r="D44" s="22" t="s">
        <v>33</v>
      </c>
      <c r="E44" s="84">
        <f>E25</f>
        <v>170000</v>
      </c>
      <c r="F44" s="84">
        <f t="shared" si="10"/>
        <v>34000</v>
      </c>
      <c r="G44" s="83"/>
      <c r="H44" s="83">
        <f t="shared" si="11"/>
        <v>0</v>
      </c>
      <c r="I44" s="83"/>
      <c r="J44" s="83">
        <f t="shared" si="12"/>
        <v>0</v>
      </c>
      <c r="K44" s="84">
        <f t="shared" si="13"/>
        <v>170000</v>
      </c>
      <c r="L44" s="84">
        <f t="shared" si="14"/>
        <v>34000</v>
      </c>
      <c r="M44" s="62"/>
    </row>
    <row r="45" spans="1:13" ht="30" customHeight="1">
      <c r="A45" s="21" t="s">
        <v>15</v>
      </c>
      <c r="B45" s="22"/>
      <c r="C45" s="71">
        <v>0.025</v>
      </c>
      <c r="D45" s="22" t="s">
        <v>16</v>
      </c>
      <c r="E45" s="83"/>
      <c r="F45" s="83">
        <f t="shared" si="10"/>
        <v>0</v>
      </c>
      <c r="G45" s="46">
        <f aca="true" t="shared" si="15" ref="G45:G51">G26</f>
        <v>105826</v>
      </c>
      <c r="H45" s="84">
        <f t="shared" si="11"/>
        <v>2645</v>
      </c>
      <c r="I45" s="83"/>
      <c r="J45" s="83">
        <f t="shared" si="12"/>
        <v>0</v>
      </c>
      <c r="K45" s="84">
        <f t="shared" si="13"/>
        <v>105826</v>
      </c>
      <c r="L45" s="84">
        <f t="shared" si="14"/>
        <v>2645</v>
      </c>
      <c r="M45" s="43"/>
    </row>
    <row r="46" spans="1:13" ht="30" customHeight="1">
      <c r="A46" s="21" t="s">
        <v>17</v>
      </c>
      <c r="B46" s="22"/>
      <c r="C46" s="71">
        <v>0.049</v>
      </c>
      <c r="D46" s="22" t="s">
        <v>16</v>
      </c>
      <c r="E46" s="83"/>
      <c r="F46" s="83">
        <f t="shared" si="10"/>
        <v>0</v>
      </c>
      <c r="G46" s="46">
        <f>G27</f>
        <v>102334</v>
      </c>
      <c r="H46" s="84">
        <f t="shared" si="11"/>
        <v>5014</v>
      </c>
      <c r="I46" s="83"/>
      <c r="J46" s="83">
        <f t="shared" si="12"/>
        <v>0</v>
      </c>
      <c r="K46" s="84">
        <f t="shared" si="13"/>
        <v>102334</v>
      </c>
      <c r="L46" s="84">
        <f t="shared" si="14"/>
        <v>5014</v>
      </c>
      <c r="M46" s="24"/>
    </row>
    <row r="47" spans="1:13" ht="30" customHeight="1">
      <c r="A47" s="21" t="s">
        <v>18</v>
      </c>
      <c r="B47" s="22"/>
      <c r="C47" s="71">
        <v>0.145</v>
      </c>
      <c r="D47" s="22" t="s">
        <v>16</v>
      </c>
      <c r="E47" s="83"/>
      <c r="F47" s="83">
        <f t="shared" si="10"/>
        <v>0</v>
      </c>
      <c r="G47" s="46">
        <f>G28</f>
        <v>84166</v>
      </c>
      <c r="H47" s="84">
        <f t="shared" si="11"/>
        <v>12204</v>
      </c>
      <c r="I47" s="83"/>
      <c r="J47" s="83">
        <f t="shared" si="12"/>
        <v>0</v>
      </c>
      <c r="K47" s="84">
        <f t="shared" si="13"/>
        <v>84166</v>
      </c>
      <c r="L47" s="84">
        <f t="shared" si="14"/>
        <v>12204</v>
      </c>
      <c r="M47" s="24"/>
    </row>
    <row r="48" spans="1:13" ht="30" customHeight="1">
      <c r="A48" s="21" t="s">
        <v>34</v>
      </c>
      <c r="B48" s="22" t="s">
        <v>47</v>
      </c>
      <c r="C48" s="71">
        <v>0.147</v>
      </c>
      <c r="D48" s="22" t="s">
        <v>30</v>
      </c>
      <c r="E48" s="84">
        <f>E29</f>
        <v>11166</v>
      </c>
      <c r="F48" s="84">
        <f t="shared" si="10"/>
        <v>1641</v>
      </c>
      <c r="G48" s="84">
        <f t="shared" si="15"/>
        <v>18695</v>
      </c>
      <c r="H48" s="84">
        <f t="shared" si="11"/>
        <v>2748</v>
      </c>
      <c r="I48" s="84">
        <f>I29</f>
        <v>71731</v>
      </c>
      <c r="J48" s="84">
        <f t="shared" si="12"/>
        <v>10544</v>
      </c>
      <c r="K48" s="84">
        <f t="shared" si="13"/>
        <v>101592</v>
      </c>
      <c r="L48" s="84">
        <f t="shared" si="14"/>
        <v>14933</v>
      </c>
      <c r="M48" s="24"/>
    </row>
    <row r="49" spans="1:13" ht="30" customHeight="1">
      <c r="A49" s="21" t="s">
        <v>35</v>
      </c>
      <c r="B49" s="22" t="s">
        <v>36</v>
      </c>
      <c r="C49" s="71">
        <v>0.147</v>
      </c>
      <c r="D49" s="22" t="s">
        <v>30</v>
      </c>
      <c r="E49" s="84">
        <f>E30</f>
        <v>8898</v>
      </c>
      <c r="F49" s="84">
        <f t="shared" si="10"/>
        <v>1308</v>
      </c>
      <c r="G49" s="84">
        <f t="shared" si="15"/>
        <v>21911</v>
      </c>
      <c r="H49" s="84">
        <f t="shared" si="11"/>
        <v>3220</v>
      </c>
      <c r="I49" s="84">
        <f>I30</f>
        <v>10362</v>
      </c>
      <c r="J49" s="84">
        <f t="shared" si="12"/>
        <v>1523</v>
      </c>
      <c r="K49" s="84">
        <f t="shared" si="13"/>
        <v>41171</v>
      </c>
      <c r="L49" s="84">
        <f t="shared" si="14"/>
        <v>6051</v>
      </c>
      <c r="M49" s="24"/>
    </row>
    <row r="50" spans="1:13" ht="30" customHeight="1">
      <c r="A50" s="21" t="s">
        <v>45</v>
      </c>
      <c r="B50" s="22" t="s">
        <v>37</v>
      </c>
      <c r="C50" s="71">
        <v>0.147</v>
      </c>
      <c r="D50" s="22" t="s">
        <v>30</v>
      </c>
      <c r="E50" s="84">
        <f>E31</f>
        <v>16052</v>
      </c>
      <c r="F50" s="84">
        <f t="shared" si="10"/>
        <v>2359</v>
      </c>
      <c r="G50" s="84">
        <f t="shared" si="15"/>
        <v>21911</v>
      </c>
      <c r="H50" s="84">
        <f t="shared" si="11"/>
        <v>3220</v>
      </c>
      <c r="I50" s="84">
        <f>I31</f>
        <v>6117</v>
      </c>
      <c r="J50" s="84">
        <f t="shared" si="12"/>
        <v>899</v>
      </c>
      <c r="K50" s="84">
        <f t="shared" si="13"/>
        <v>44080</v>
      </c>
      <c r="L50" s="84">
        <f t="shared" si="14"/>
        <v>6478</v>
      </c>
      <c r="M50" s="24"/>
    </row>
    <row r="51" spans="1:13" ht="30" customHeight="1">
      <c r="A51" s="21" t="s">
        <v>38</v>
      </c>
      <c r="B51" s="22" t="s">
        <v>39</v>
      </c>
      <c r="C51" s="71">
        <v>0.432</v>
      </c>
      <c r="D51" s="22" t="s">
        <v>30</v>
      </c>
      <c r="E51" s="84">
        <f>E32</f>
        <v>17578</v>
      </c>
      <c r="F51" s="84">
        <f t="shared" si="10"/>
        <v>7593</v>
      </c>
      <c r="G51" s="84">
        <f t="shared" si="15"/>
        <v>21911</v>
      </c>
      <c r="H51" s="84">
        <f t="shared" si="11"/>
        <v>9465</v>
      </c>
      <c r="I51" s="84">
        <f>I32</f>
        <v>7823</v>
      </c>
      <c r="J51" s="84">
        <f t="shared" si="12"/>
        <v>3379</v>
      </c>
      <c r="K51" s="84">
        <f t="shared" si="13"/>
        <v>47312</v>
      </c>
      <c r="L51" s="84">
        <f t="shared" si="14"/>
        <v>20437</v>
      </c>
      <c r="M51" s="24"/>
    </row>
    <row r="52" spans="1:13" ht="30" customHeight="1">
      <c r="A52" s="21" t="s">
        <v>40</v>
      </c>
      <c r="B52" s="22" t="s">
        <v>41</v>
      </c>
      <c r="C52" s="71">
        <v>0.147</v>
      </c>
      <c r="D52" s="22" t="s">
        <v>30</v>
      </c>
      <c r="E52" s="83"/>
      <c r="F52" s="83">
        <f t="shared" si="10"/>
        <v>0</v>
      </c>
      <c r="G52" s="83"/>
      <c r="H52" s="83">
        <f t="shared" si="11"/>
        <v>0</v>
      </c>
      <c r="I52" s="84">
        <f>I33</f>
        <v>77</v>
      </c>
      <c r="J52" s="84">
        <f t="shared" si="12"/>
        <v>11</v>
      </c>
      <c r="K52" s="84">
        <f t="shared" si="13"/>
        <v>77</v>
      </c>
      <c r="L52" s="84">
        <f t="shared" si="14"/>
        <v>11</v>
      </c>
      <c r="M52" s="24"/>
    </row>
    <row r="53" spans="1:13" ht="30" customHeight="1">
      <c r="A53" s="25" t="s">
        <v>19</v>
      </c>
      <c r="B53" s="26" t="s">
        <v>20</v>
      </c>
      <c r="C53" s="59">
        <v>1</v>
      </c>
      <c r="D53" s="26" t="s">
        <v>21</v>
      </c>
      <c r="E53" s="82"/>
      <c r="F53" s="84">
        <f>INT(SUM(F42:F52)*0.03)</f>
        <v>4203</v>
      </c>
      <c r="G53" s="82"/>
      <c r="H53" s="82">
        <v>0</v>
      </c>
      <c r="I53" s="92"/>
      <c r="J53" s="92">
        <v>0</v>
      </c>
      <c r="K53" s="92"/>
      <c r="L53" s="84">
        <f t="shared" si="14"/>
        <v>4203</v>
      </c>
      <c r="M53" s="28"/>
    </row>
    <row r="54" spans="1:13" ht="30" customHeight="1">
      <c r="A54" s="25" t="s">
        <v>42</v>
      </c>
      <c r="B54" s="26" t="s">
        <v>43</v>
      </c>
      <c r="C54" s="59">
        <v>1</v>
      </c>
      <c r="D54" s="26" t="s">
        <v>21</v>
      </c>
      <c r="E54" s="82"/>
      <c r="F54" s="82">
        <f>INT(SUM(H42:H52)*0.02)</f>
        <v>770</v>
      </c>
      <c r="G54" s="82"/>
      <c r="H54" s="84">
        <v>0</v>
      </c>
      <c r="I54" s="92"/>
      <c r="J54" s="92">
        <v>0</v>
      </c>
      <c r="K54" s="92"/>
      <c r="L54" s="84">
        <f t="shared" si="14"/>
        <v>770</v>
      </c>
      <c r="M54" s="28"/>
    </row>
    <row r="55" spans="1:13" ht="30" customHeight="1">
      <c r="A55" s="11" t="s">
        <v>64</v>
      </c>
      <c r="B55" s="74" t="s">
        <v>62</v>
      </c>
      <c r="C55" s="67">
        <v>1</v>
      </c>
      <c r="D55" s="26" t="s">
        <v>58</v>
      </c>
      <c r="E55" s="82"/>
      <c r="F55" s="82">
        <f>'참고자료-안정화재'!F9</f>
        <v>10918</v>
      </c>
      <c r="G55" s="82"/>
      <c r="H55" s="82">
        <f>'참고자료-안정화재'!H9</f>
        <v>27066</v>
      </c>
      <c r="I55" s="82"/>
      <c r="J55" s="82">
        <f>'참고자료-안정화재'!J9</f>
        <v>0</v>
      </c>
      <c r="K55" s="82"/>
      <c r="L55" s="84">
        <f>+J55+H55+F55</f>
        <v>37984</v>
      </c>
      <c r="M55" s="146" t="s">
        <v>131</v>
      </c>
    </row>
    <row r="56" spans="1:13" ht="30" customHeight="1">
      <c r="A56" s="25" t="s">
        <v>49</v>
      </c>
      <c r="B56" s="26"/>
      <c r="C56" s="53"/>
      <c r="D56" s="26"/>
      <c r="E56" s="82"/>
      <c r="F56" s="92">
        <f>SUM(F42:F55)</f>
        <v>155992</v>
      </c>
      <c r="G56" s="82"/>
      <c r="H56" s="92">
        <f>SUM(H42:H55)</f>
        <v>65582</v>
      </c>
      <c r="I56" s="92"/>
      <c r="J56" s="92">
        <f>SUM(J42:J55)</f>
        <v>16356</v>
      </c>
      <c r="K56" s="92"/>
      <c r="L56" s="92">
        <f>SUM(L42:L55)</f>
        <v>237930</v>
      </c>
      <c r="M56" s="28"/>
    </row>
    <row r="57" spans="1:13" ht="30" customHeight="1">
      <c r="A57" s="25"/>
      <c r="B57" s="26"/>
      <c r="C57" s="53"/>
      <c r="D57" s="26"/>
      <c r="E57" s="82"/>
      <c r="F57" s="92"/>
      <c r="G57" s="82"/>
      <c r="H57" s="92"/>
      <c r="I57" s="92"/>
      <c r="J57" s="92"/>
      <c r="K57" s="92"/>
      <c r="L57" s="92"/>
      <c r="M57" s="28"/>
    </row>
    <row r="58" spans="1:13" ht="30" customHeight="1">
      <c r="A58" s="25"/>
      <c r="B58" s="26"/>
      <c r="C58" s="53"/>
      <c r="D58" s="26"/>
      <c r="E58" s="82"/>
      <c r="F58" s="92"/>
      <c r="G58" s="82"/>
      <c r="H58" s="92"/>
      <c r="I58" s="92"/>
      <c r="J58" s="92"/>
      <c r="K58" s="92"/>
      <c r="L58" s="92"/>
      <c r="M58" s="28"/>
    </row>
    <row r="59" spans="1:13" ht="30" customHeight="1" thickBot="1">
      <c r="A59" s="29"/>
      <c r="B59" s="30"/>
      <c r="C59" s="51"/>
      <c r="D59" s="30"/>
      <c r="E59" s="93"/>
      <c r="F59" s="93"/>
      <c r="G59" s="93"/>
      <c r="H59" s="93"/>
      <c r="I59" s="93"/>
      <c r="J59" s="93"/>
      <c r="K59" s="93"/>
      <c r="L59" s="93"/>
      <c r="M59" s="32"/>
    </row>
    <row r="60" spans="1:13" ht="31.5" customHeight="1">
      <c r="A60" s="17" t="s">
        <v>155</v>
      </c>
      <c r="B60" s="18"/>
      <c r="C60" s="52"/>
      <c r="D60" s="19"/>
      <c r="E60" s="83"/>
      <c r="F60" s="91"/>
      <c r="G60" s="91"/>
      <c r="H60" s="91"/>
      <c r="I60" s="91"/>
      <c r="J60" s="91"/>
      <c r="K60" s="91"/>
      <c r="L60" s="91"/>
      <c r="M60" s="20"/>
    </row>
    <row r="61" spans="1:13" ht="30" customHeight="1">
      <c r="A61" s="21" t="s">
        <v>77</v>
      </c>
      <c r="B61" s="213" t="str">
        <f>B42</f>
        <v>HI - 그린</v>
      </c>
      <c r="C61" s="47">
        <v>110</v>
      </c>
      <c r="D61" s="22" t="s">
        <v>31</v>
      </c>
      <c r="E61" s="84">
        <f>E42</f>
        <v>840</v>
      </c>
      <c r="F61" s="84">
        <f aca="true" t="shared" si="16" ref="F61:F71">INT(E61*C61)</f>
        <v>92400</v>
      </c>
      <c r="G61" s="83"/>
      <c r="H61" s="83">
        <f aca="true" t="shared" si="17" ref="H61:H71">INT(G61*C61)</f>
        <v>0</v>
      </c>
      <c r="I61" s="83"/>
      <c r="J61" s="83">
        <f aca="true" t="shared" si="18" ref="J61:J71">INT(I61*C61)</f>
        <v>0</v>
      </c>
      <c r="K61" s="84">
        <f aca="true" t="shared" si="19" ref="K61:K71">E61+G61+I61</f>
        <v>840</v>
      </c>
      <c r="L61" s="84">
        <f>+J61+H61+F61</f>
        <v>92400</v>
      </c>
      <c r="M61" s="61"/>
    </row>
    <row r="62" spans="1:13" ht="30" customHeight="1">
      <c r="A62" s="21" t="s">
        <v>78</v>
      </c>
      <c r="B62" s="45" t="s">
        <v>46</v>
      </c>
      <c r="C62" s="47">
        <v>20</v>
      </c>
      <c r="D62" s="22" t="s">
        <v>32</v>
      </c>
      <c r="E62" s="84">
        <f>E43</f>
        <v>40</v>
      </c>
      <c r="F62" s="84">
        <f t="shared" si="16"/>
        <v>800</v>
      </c>
      <c r="G62" s="83"/>
      <c r="H62" s="83">
        <f t="shared" si="17"/>
        <v>0</v>
      </c>
      <c r="I62" s="83"/>
      <c r="J62" s="83">
        <f t="shared" si="18"/>
        <v>0</v>
      </c>
      <c r="K62" s="84">
        <f t="shared" si="19"/>
        <v>40</v>
      </c>
      <c r="L62" s="84">
        <f aca="true" t="shared" si="20" ref="L62:L73">+J62+H62+F62</f>
        <v>800</v>
      </c>
      <c r="M62" s="61"/>
    </row>
    <row r="63" spans="1:13" ht="30" customHeight="1">
      <c r="A63" s="21" t="str">
        <f>A44</f>
        <v>배합종자</v>
      </c>
      <c r="B63" s="45" t="str">
        <f>B44</f>
        <v>표준형</v>
      </c>
      <c r="C63" s="47">
        <v>0.2</v>
      </c>
      <c r="D63" s="22" t="s">
        <v>33</v>
      </c>
      <c r="E63" s="84">
        <f>E44</f>
        <v>170000</v>
      </c>
      <c r="F63" s="84">
        <f t="shared" si="16"/>
        <v>34000</v>
      </c>
      <c r="G63" s="83"/>
      <c r="H63" s="83">
        <f t="shared" si="17"/>
        <v>0</v>
      </c>
      <c r="I63" s="83"/>
      <c r="J63" s="83">
        <f t="shared" si="18"/>
        <v>0</v>
      </c>
      <c r="K63" s="84">
        <f t="shared" si="19"/>
        <v>170000</v>
      </c>
      <c r="L63" s="84">
        <f t="shared" si="20"/>
        <v>34000</v>
      </c>
      <c r="M63" s="62"/>
    </row>
    <row r="64" spans="1:13" ht="30" customHeight="1">
      <c r="A64" s="21" t="s">
        <v>15</v>
      </c>
      <c r="B64" s="22"/>
      <c r="C64" s="71">
        <v>0.025</v>
      </c>
      <c r="D64" s="22" t="s">
        <v>16</v>
      </c>
      <c r="E64" s="83"/>
      <c r="F64" s="83">
        <f t="shared" si="16"/>
        <v>0</v>
      </c>
      <c r="G64" s="46">
        <f aca="true" t="shared" si="21" ref="G64:G70">G45</f>
        <v>105826</v>
      </c>
      <c r="H64" s="84">
        <f t="shared" si="17"/>
        <v>2645</v>
      </c>
      <c r="I64" s="83"/>
      <c r="J64" s="83">
        <f t="shared" si="18"/>
        <v>0</v>
      </c>
      <c r="K64" s="84">
        <f t="shared" si="19"/>
        <v>105826</v>
      </c>
      <c r="L64" s="84">
        <f t="shared" si="20"/>
        <v>2645</v>
      </c>
      <c r="M64" s="43"/>
    </row>
    <row r="65" spans="1:13" ht="30" customHeight="1">
      <c r="A65" s="21" t="s">
        <v>17</v>
      </c>
      <c r="B65" s="22"/>
      <c r="C65" s="71">
        <v>0.049</v>
      </c>
      <c r="D65" s="22" t="s">
        <v>16</v>
      </c>
      <c r="E65" s="83"/>
      <c r="F65" s="83">
        <f t="shared" si="16"/>
        <v>0</v>
      </c>
      <c r="G65" s="46">
        <f t="shared" si="21"/>
        <v>102334</v>
      </c>
      <c r="H65" s="84">
        <f t="shared" si="17"/>
        <v>5014</v>
      </c>
      <c r="I65" s="83"/>
      <c r="J65" s="83">
        <f t="shared" si="18"/>
        <v>0</v>
      </c>
      <c r="K65" s="84">
        <f t="shared" si="19"/>
        <v>102334</v>
      </c>
      <c r="L65" s="84">
        <f t="shared" si="20"/>
        <v>5014</v>
      </c>
      <c r="M65" s="24"/>
    </row>
    <row r="66" spans="1:13" ht="30" customHeight="1">
      <c r="A66" s="21" t="s">
        <v>18</v>
      </c>
      <c r="B66" s="22"/>
      <c r="C66" s="71">
        <v>0.145</v>
      </c>
      <c r="D66" s="22" t="s">
        <v>16</v>
      </c>
      <c r="E66" s="83"/>
      <c r="F66" s="83">
        <f t="shared" si="16"/>
        <v>0</v>
      </c>
      <c r="G66" s="46">
        <f t="shared" si="21"/>
        <v>84166</v>
      </c>
      <c r="H66" s="84">
        <f t="shared" si="17"/>
        <v>12204</v>
      </c>
      <c r="I66" s="83"/>
      <c r="J66" s="83">
        <f t="shared" si="18"/>
        <v>0</v>
      </c>
      <c r="K66" s="84">
        <f t="shared" si="19"/>
        <v>84166</v>
      </c>
      <c r="L66" s="84">
        <f t="shared" si="20"/>
        <v>12204</v>
      </c>
      <c r="M66" s="24"/>
    </row>
    <row r="67" spans="1:13" ht="30" customHeight="1">
      <c r="A67" s="21" t="s">
        <v>34</v>
      </c>
      <c r="B67" s="22" t="s">
        <v>47</v>
      </c>
      <c r="C67" s="71">
        <v>0.147</v>
      </c>
      <c r="D67" s="22" t="s">
        <v>30</v>
      </c>
      <c r="E67" s="84">
        <f>E48</f>
        <v>11166</v>
      </c>
      <c r="F67" s="84">
        <f t="shared" si="16"/>
        <v>1641</v>
      </c>
      <c r="G67" s="84">
        <f t="shared" si="21"/>
        <v>18695</v>
      </c>
      <c r="H67" s="84">
        <f t="shared" si="17"/>
        <v>2748</v>
      </c>
      <c r="I67" s="84">
        <f>I48</f>
        <v>71731</v>
      </c>
      <c r="J67" s="84">
        <f t="shared" si="18"/>
        <v>10544</v>
      </c>
      <c r="K67" s="84">
        <f t="shared" si="19"/>
        <v>101592</v>
      </c>
      <c r="L67" s="84">
        <f t="shared" si="20"/>
        <v>14933</v>
      </c>
      <c r="M67" s="24"/>
    </row>
    <row r="68" spans="1:13" ht="30" customHeight="1">
      <c r="A68" s="21" t="s">
        <v>35</v>
      </c>
      <c r="B68" s="22" t="s">
        <v>36</v>
      </c>
      <c r="C68" s="71">
        <v>0.147</v>
      </c>
      <c r="D68" s="22" t="s">
        <v>30</v>
      </c>
      <c r="E68" s="84">
        <f>E49</f>
        <v>8898</v>
      </c>
      <c r="F68" s="84">
        <f t="shared" si="16"/>
        <v>1308</v>
      </c>
      <c r="G68" s="84">
        <f t="shared" si="21"/>
        <v>21911</v>
      </c>
      <c r="H68" s="84">
        <f t="shared" si="17"/>
        <v>3220</v>
      </c>
      <c r="I68" s="84">
        <f>I49</f>
        <v>10362</v>
      </c>
      <c r="J68" s="84">
        <f t="shared" si="18"/>
        <v>1523</v>
      </c>
      <c r="K68" s="84">
        <f t="shared" si="19"/>
        <v>41171</v>
      </c>
      <c r="L68" s="84">
        <f t="shared" si="20"/>
        <v>6051</v>
      </c>
      <c r="M68" s="24"/>
    </row>
    <row r="69" spans="1:13" ht="30" customHeight="1">
      <c r="A69" s="21" t="s">
        <v>45</v>
      </c>
      <c r="B69" s="22" t="s">
        <v>37</v>
      </c>
      <c r="C69" s="71">
        <v>0.147</v>
      </c>
      <c r="D69" s="22" t="s">
        <v>30</v>
      </c>
      <c r="E69" s="84">
        <f>E50</f>
        <v>16052</v>
      </c>
      <c r="F69" s="84">
        <f t="shared" si="16"/>
        <v>2359</v>
      </c>
      <c r="G69" s="84">
        <f t="shared" si="21"/>
        <v>21911</v>
      </c>
      <c r="H69" s="84">
        <f t="shared" si="17"/>
        <v>3220</v>
      </c>
      <c r="I69" s="84">
        <f>I50</f>
        <v>6117</v>
      </c>
      <c r="J69" s="84">
        <f t="shared" si="18"/>
        <v>899</v>
      </c>
      <c r="K69" s="84">
        <f t="shared" si="19"/>
        <v>44080</v>
      </c>
      <c r="L69" s="84">
        <f t="shared" si="20"/>
        <v>6478</v>
      </c>
      <c r="M69" s="24"/>
    </row>
    <row r="70" spans="1:13" ht="30" customHeight="1">
      <c r="A70" s="21" t="s">
        <v>38</v>
      </c>
      <c r="B70" s="22" t="s">
        <v>39</v>
      </c>
      <c r="C70" s="71">
        <v>0.432</v>
      </c>
      <c r="D70" s="22" t="s">
        <v>30</v>
      </c>
      <c r="E70" s="84">
        <f>E51</f>
        <v>17578</v>
      </c>
      <c r="F70" s="84">
        <f t="shared" si="16"/>
        <v>7593</v>
      </c>
      <c r="G70" s="84">
        <f t="shared" si="21"/>
        <v>21911</v>
      </c>
      <c r="H70" s="84">
        <f t="shared" si="17"/>
        <v>9465</v>
      </c>
      <c r="I70" s="84">
        <f>I51</f>
        <v>7823</v>
      </c>
      <c r="J70" s="84">
        <f t="shared" si="18"/>
        <v>3379</v>
      </c>
      <c r="K70" s="84">
        <f t="shared" si="19"/>
        <v>47312</v>
      </c>
      <c r="L70" s="84">
        <f t="shared" si="20"/>
        <v>20437</v>
      </c>
      <c r="M70" s="24"/>
    </row>
    <row r="71" spans="1:13" ht="30" customHeight="1">
      <c r="A71" s="21" t="s">
        <v>40</v>
      </c>
      <c r="B71" s="22" t="s">
        <v>41</v>
      </c>
      <c r="C71" s="71">
        <v>0.147</v>
      </c>
      <c r="D71" s="22" t="s">
        <v>30</v>
      </c>
      <c r="E71" s="83"/>
      <c r="F71" s="83">
        <f t="shared" si="16"/>
        <v>0</v>
      </c>
      <c r="G71" s="83"/>
      <c r="H71" s="83">
        <f t="shared" si="17"/>
        <v>0</v>
      </c>
      <c r="I71" s="84">
        <f>I52</f>
        <v>77</v>
      </c>
      <c r="J71" s="84">
        <f t="shared" si="18"/>
        <v>11</v>
      </c>
      <c r="K71" s="84">
        <f t="shared" si="19"/>
        <v>77</v>
      </c>
      <c r="L71" s="84">
        <f t="shared" si="20"/>
        <v>11</v>
      </c>
      <c r="M71" s="24"/>
    </row>
    <row r="72" spans="1:13" ht="30" customHeight="1">
      <c r="A72" s="25" t="s">
        <v>19</v>
      </c>
      <c r="B72" s="26" t="s">
        <v>20</v>
      </c>
      <c r="C72" s="59">
        <v>1</v>
      </c>
      <c r="D72" s="26" t="s">
        <v>21</v>
      </c>
      <c r="E72" s="82"/>
      <c r="F72" s="84">
        <f>INT(SUM(F61:F71)*0.03)</f>
        <v>4203</v>
      </c>
      <c r="G72" s="82"/>
      <c r="H72" s="82">
        <v>0</v>
      </c>
      <c r="I72" s="92"/>
      <c r="J72" s="92">
        <v>0</v>
      </c>
      <c r="K72" s="92"/>
      <c r="L72" s="84">
        <f t="shared" si="20"/>
        <v>4203</v>
      </c>
      <c r="M72" s="28"/>
    </row>
    <row r="73" spans="1:13" ht="30" customHeight="1">
      <c r="A73" s="25" t="s">
        <v>42</v>
      </c>
      <c r="B73" s="26" t="s">
        <v>43</v>
      </c>
      <c r="C73" s="59">
        <v>1</v>
      </c>
      <c r="D73" s="26" t="s">
        <v>21</v>
      </c>
      <c r="E73" s="82"/>
      <c r="F73" s="82">
        <f>INT(SUM(H61:H71)*0.02)</f>
        <v>770</v>
      </c>
      <c r="G73" s="82"/>
      <c r="H73" s="84">
        <v>0</v>
      </c>
      <c r="I73" s="92"/>
      <c r="J73" s="92">
        <v>0</v>
      </c>
      <c r="K73" s="92"/>
      <c r="L73" s="84">
        <f t="shared" si="20"/>
        <v>770</v>
      </c>
      <c r="M73" s="28"/>
    </row>
    <row r="74" spans="1:13" ht="30" customHeight="1">
      <c r="A74" s="11" t="s">
        <v>59</v>
      </c>
      <c r="B74" s="74" t="s">
        <v>60</v>
      </c>
      <c r="C74" s="46">
        <v>1</v>
      </c>
      <c r="D74" s="74" t="s">
        <v>58</v>
      </c>
      <c r="E74" s="82"/>
      <c r="F74" s="82">
        <f>'참고자료-안정화재'!F29</f>
        <v>13390</v>
      </c>
      <c r="G74" s="82"/>
      <c r="H74" s="82">
        <f>'참고자료-안정화재'!H29</f>
        <v>41577</v>
      </c>
      <c r="I74" s="82"/>
      <c r="J74" s="82">
        <f>'참고자료-안정화재'!J29</f>
        <v>0</v>
      </c>
      <c r="K74" s="82"/>
      <c r="L74" s="84">
        <f>+J74+H74+F74</f>
        <v>54967</v>
      </c>
      <c r="M74" s="146" t="s">
        <v>131</v>
      </c>
    </row>
    <row r="75" spans="1:13" ht="30" customHeight="1">
      <c r="A75" s="25" t="s">
        <v>49</v>
      </c>
      <c r="B75" s="26"/>
      <c r="C75" s="53"/>
      <c r="D75" s="26"/>
      <c r="E75" s="82"/>
      <c r="F75" s="92">
        <f>SUM(F61:F74)</f>
        <v>158464</v>
      </c>
      <c r="G75" s="82"/>
      <c r="H75" s="92">
        <f>SUM(H61:H74)</f>
        <v>80093</v>
      </c>
      <c r="I75" s="92"/>
      <c r="J75" s="92">
        <f>SUM(J61:J74)</f>
        <v>16356</v>
      </c>
      <c r="K75" s="92"/>
      <c r="L75" s="92">
        <f>SUM(L61:L74)</f>
        <v>254913</v>
      </c>
      <c r="M75" s="28"/>
    </row>
    <row r="76" spans="1:13" ht="30" customHeight="1">
      <c r="A76" s="25"/>
      <c r="B76" s="26"/>
      <c r="C76" s="53"/>
      <c r="D76" s="26"/>
      <c r="E76" s="82"/>
      <c r="F76" s="92"/>
      <c r="G76" s="82"/>
      <c r="H76" s="92"/>
      <c r="I76" s="92"/>
      <c r="J76" s="92"/>
      <c r="K76" s="92"/>
      <c r="L76" s="92"/>
      <c r="M76" s="28"/>
    </row>
    <row r="77" spans="1:13" ht="30" customHeight="1">
      <c r="A77" s="25"/>
      <c r="B77" s="26"/>
      <c r="C77" s="53"/>
      <c r="D77" s="26"/>
      <c r="E77" s="82"/>
      <c r="F77" s="92"/>
      <c r="G77" s="82"/>
      <c r="H77" s="92"/>
      <c r="I77" s="92"/>
      <c r="J77" s="92"/>
      <c r="K77" s="92"/>
      <c r="L77" s="92"/>
      <c r="M77" s="28"/>
    </row>
    <row r="78" spans="1:13" ht="30" customHeight="1" thickBot="1">
      <c r="A78" s="29"/>
      <c r="B78" s="30"/>
      <c r="C78" s="51"/>
      <c r="D78" s="30"/>
      <c r="E78" s="93"/>
      <c r="F78" s="93"/>
      <c r="G78" s="93"/>
      <c r="H78" s="93"/>
      <c r="I78" s="93"/>
      <c r="J78" s="93"/>
      <c r="K78" s="93"/>
      <c r="L78" s="93"/>
      <c r="M78" s="32"/>
    </row>
    <row r="79" spans="1:13" ht="30" customHeight="1">
      <c r="A79" s="17" t="s">
        <v>187</v>
      </c>
      <c r="B79" s="18"/>
      <c r="C79" s="52"/>
      <c r="D79" s="19"/>
      <c r="E79" s="83"/>
      <c r="F79" s="91"/>
      <c r="G79" s="91"/>
      <c r="H79" s="91"/>
      <c r="I79" s="91"/>
      <c r="J79" s="91"/>
      <c r="K79" s="91"/>
      <c r="L79" s="91"/>
      <c r="M79" s="20"/>
    </row>
    <row r="80" spans="1:13" ht="30" customHeight="1">
      <c r="A80" s="21" t="s">
        <v>77</v>
      </c>
      <c r="B80" s="213" t="str">
        <f>B61</f>
        <v>HI - 그린</v>
      </c>
      <c r="C80" s="47">
        <v>220</v>
      </c>
      <c r="D80" s="22" t="s">
        <v>31</v>
      </c>
      <c r="E80" s="84">
        <f>E23</f>
        <v>840</v>
      </c>
      <c r="F80" s="84">
        <f aca="true" t="shared" si="22" ref="F80:F90">INT(E80*C80)</f>
        <v>184800</v>
      </c>
      <c r="G80" s="83"/>
      <c r="H80" s="83">
        <f aca="true" t="shared" si="23" ref="H80:H90">INT(G80*C80)</f>
        <v>0</v>
      </c>
      <c r="I80" s="83"/>
      <c r="J80" s="83">
        <f aca="true" t="shared" si="24" ref="J80:J90">INT(I80*C80)</f>
        <v>0</v>
      </c>
      <c r="K80" s="84">
        <f aca="true" t="shared" si="25" ref="K80:K90">E80+G80+I80</f>
        <v>840</v>
      </c>
      <c r="L80" s="84">
        <f aca="true" t="shared" si="26" ref="L80:L92">+J80+H80+F80</f>
        <v>184800</v>
      </c>
      <c r="M80" s="61"/>
    </row>
    <row r="81" spans="1:13" ht="30" customHeight="1">
      <c r="A81" s="21" t="s">
        <v>78</v>
      </c>
      <c r="B81" s="45" t="s">
        <v>46</v>
      </c>
      <c r="C81" s="47">
        <v>40</v>
      </c>
      <c r="D81" s="22" t="s">
        <v>32</v>
      </c>
      <c r="E81" s="84">
        <f>E24</f>
        <v>40</v>
      </c>
      <c r="F81" s="84">
        <f t="shared" si="22"/>
        <v>1600</v>
      </c>
      <c r="G81" s="83"/>
      <c r="H81" s="83">
        <f t="shared" si="23"/>
        <v>0</v>
      </c>
      <c r="I81" s="83"/>
      <c r="J81" s="83">
        <f t="shared" si="24"/>
        <v>0</v>
      </c>
      <c r="K81" s="84">
        <f t="shared" si="25"/>
        <v>40</v>
      </c>
      <c r="L81" s="84">
        <f t="shared" si="26"/>
        <v>1600</v>
      </c>
      <c r="M81" s="61"/>
    </row>
    <row r="82" spans="1:13" ht="30" customHeight="1">
      <c r="A82" s="21" t="str">
        <f>A63</f>
        <v>배합종자</v>
      </c>
      <c r="B82" s="45" t="str">
        <f>B63</f>
        <v>표준형</v>
      </c>
      <c r="C82" s="47">
        <v>0.2</v>
      </c>
      <c r="D82" s="22" t="s">
        <v>33</v>
      </c>
      <c r="E82" s="84">
        <f>E25</f>
        <v>170000</v>
      </c>
      <c r="F82" s="84">
        <f t="shared" si="22"/>
        <v>34000</v>
      </c>
      <c r="G82" s="83"/>
      <c r="H82" s="83">
        <f t="shared" si="23"/>
        <v>0</v>
      </c>
      <c r="I82" s="83"/>
      <c r="J82" s="83">
        <f t="shared" si="24"/>
        <v>0</v>
      </c>
      <c r="K82" s="84">
        <f t="shared" si="25"/>
        <v>170000</v>
      </c>
      <c r="L82" s="84">
        <f t="shared" si="26"/>
        <v>34000</v>
      </c>
      <c r="M82" s="62"/>
    </row>
    <row r="83" spans="1:13" ht="30" customHeight="1">
      <c r="A83" s="21" t="s">
        <v>15</v>
      </c>
      <c r="B83" s="22"/>
      <c r="C83" s="71">
        <v>0.034</v>
      </c>
      <c r="D83" s="22" t="s">
        <v>16</v>
      </c>
      <c r="E83" s="83"/>
      <c r="F83" s="83">
        <f t="shared" si="22"/>
        <v>0</v>
      </c>
      <c r="G83" s="46">
        <f aca="true" t="shared" si="27" ref="G83:G89">G26</f>
        <v>105826</v>
      </c>
      <c r="H83" s="84">
        <f t="shared" si="23"/>
        <v>3598</v>
      </c>
      <c r="I83" s="83"/>
      <c r="J83" s="83">
        <f t="shared" si="24"/>
        <v>0</v>
      </c>
      <c r="K83" s="84">
        <f t="shared" si="25"/>
        <v>105826</v>
      </c>
      <c r="L83" s="84">
        <f t="shared" si="26"/>
        <v>3598</v>
      </c>
      <c r="M83" s="43"/>
    </row>
    <row r="84" spans="1:13" ht="30" customHeight="1">
      <c r="A84" s="21" t="s">
        <v>17</v>
      </c>
      <c r="B84" s="22"/>
      <c r="C84" s="71">
        <v>0.067</v>
      </c>
      <c r="D84" s="22" t="s">
        <v>16</v>
      </c>
      <c r="E84" s="83"/>
      <c r="F84" s="83">
        <f t="shared" si="22"/>
        <v>0</v>
      </c>
      <c r="G84" s="46">
        <f t="shared" si="27"/>
        <v>102334</v>
      </c>
      <c r="H84" s="84">
        <f t="shared" si="23"/>
        <v>6856</v>
      </c>
      <c r="I84" s="83"/>
      <c r="J84" s="83">
        <f t="shared" si="24"/>
        <v>0</v>
      </c>
      <c r="K84" s="84">
        <f t="shared" si="25"/>
        <v>102334</v>
      </c>
      <c r="L84" s="84">
        <f t="shared" si="26"/>
        <v>6856</v>
      </c>
      <c r="M84" s="24"/>
    </row>
    <row r="85" spans="1:13" ht="30" customHeight="1">
      <c r="A85" s="21" t="s">
        <v>18</v>
      </c>
      <c r="B85" s="22"/>
      <c r="C85" s="71">
        <v>0.178</v>
      </c>
      <c r="D85" s="22" t="s">
        <v>16</v>
      </c>
      <c r="E85" s="83"/>
      <c r="F85" s="83">
        <f t="shared" si="22"/>
        <v>0</v>
      </c>
      <c r="G85" s="46">
        <f t="shared" si="27"/>
        <v>84166</v>
      </c>
      <c r="H85" s="84">
        <f t="shared" si="23"/>
        <v>14981</v>
      </c>
      <c r="I85" s="83"/>
      <c r="J85" s="83">
        <f t="shared" si="24"/>
        <v>0</v>
      </c>
      <c r="K85" s="84">
        <f t="shared" si="25"/>
        <v>84166</v>
      </c>
      <c r="L85" s="84">
        <f t="shared" si="26"/>
        <v>14981</v>
      </c>
      <c r="M85" s="24"/>
    </row>
    <row r="86" spans="1:13" ht="30" customHeight="1">
      <c r="A86" s="21" t="s">
        <v>34</v>
      </c>
      <c r="B86" s="22" t="s">
        <v>47</v>
      </c>
      <c r="C86" s="71">
        <v>0.203</v>
      </c>
      <c r="D86" s="22" t="s">
        <v>30</v>
      </c>
      <c r="E86" s="84">
        <f>E29</f>
        <v>11166</v>
      </c>
      <c r="F86" s="84">
        <f t="shared" si="22"/>
        <v>2266</v>
      </c>
      <c r="G86" s="84">
        <f t="shared" si="27"/>
        <v>18695</v>
      </c>
      <c r="H86" s="84">
        <f t="shared" si="23"/>
        <v>3795</v>
      </c>
      <c r="I86" s="84">
        <f>I29</f>
        <v>71731</v>
      </c>
      <c r="J86" s="84">
        <f t="shared" si="24"/>
        <v>14561</v>
      </c>
      <c r="K86" s="84">
        <f t="shared" si="25"/>
        <v>101592</v>
      </c>
      <c r="L86" s="84">
        <f t="shared" si="26"/>
        <v>20622</v>
      </c>
      <c r="M86" s="24"/>
    </row>
    <row r="87" spans="1:13" ht="30" customHeight="1">
      <c r="A87" s="21" t="s">
        <v>35</v>
      </c>
      <c r="B87" s="22" t="s">
        <v>36</v>
      </c>
      <c r="C87" s="71">
        <v>0.203</v>
      </c>
      <c r="D87" s="22" t="s">
        <v>30</v>
      </c>
      <c r="E87" s="84">
        <f>E30</f>
        <v>8898</v>
      </c>
      <c r="F87" s="84">
        <f t="shared" si="22"/>
        <v>1806</v>
      </c>
      <c r="G87" s="84">
        <f t="shared" si="27"/>
        <v>21911</v>
      </c>
      <c r="H87" s="84">
        <f t="shared" si="23"/>
        <v>4447</v>
      </c>
      <c r="I87" s="84">
        <f>I30</f>
        <v>10362</v>
      </c>
      <c r="J87" s="84">
        <f t="shared" si="24"/>
        <v>2103</v>
      </c>
      <c r="K87" s="84">
        <f t="shared" si="25"/>
        <v>41171</v>
      </c>
      <c r="L87" s="84">
        <f t="shared" si="26"/>
        <v>8356</v>
      </c>
      <c r="M87" s="24"/>
    </row>
    <row r="88" spans="1:13" ht="30" customHeight="1">
      <c r="A88" s="21" t="s">
        <v>45</v>
      </c>
      <c r="B88" s="22" t="s">
        <v>37</v>
      </c>
      <c r="C88" s="71">
        <v>0.203</v>
      </c>
      <c r="D88" s="22" t="s">
        <v>30</v>
      </c>
      <c r="E88" s="84">
        <f>E31</f>
        <v>16052</v>
      </c>
      <c r="F88" s="84">
        <f t="shared" si="22"/>
        <v>3258</v>
      </c>
      <c r="G88" s="84">
        <f t="shared" si="27"/>
        <v>21911</v>
      </c>
      <c r="H88" s="84">
        <f t="shared" si="23"/>
        <v>4447</v>
      </c>
      <c r="I88" s="84">
        <f>I31</f>
        <v>6117</v>
      </c>
      <c r="J88" s="84">
        <f t="shared" si="24"/>
        <v>1241</v>
      </c>
      <c r="K88" s="84">
        <f t="shared" si="25"/>
        <v>44080</v>
      </c>
      <c r="L88" s="84">
        <f t="shared" si="26"/>
        <v>8946</v>
      </c>
      <c r="M88" s="24"/>
    </row>
    <row r="89" spans="1:13" ht="30" customHeight="1">
      <c r="A89" s="21" t="s">
        <v>38</v>
      </c>
      <c r="B89" s="22" t="s">
        <v>39</v>
      </c>
      <c r="C89" s="71">
        <v>0.485</v>
      </c>
      <c r="D89" s="22" t="s">
        <v>30</v>
      </c>
      <c r="E89" s="84">
        <f>E32</f>
        <v>17578</v>
      </c>
      <c r="F89" s="84">
        <f t="shared" si="22"/>
        <v>8525</v>
      </c>
      <c r="G89" s="84">
        <f t="shared" si="27"/>
        <v>21911</v>
      </c>
      <c r="H89" s="84">
        <f t="shared" si="23"/>
        <v>10626</v>
      </c>
      <c r="I89" s="84">
        <f>I32</f>
        <v>7823</v>
      </c>
      <c r="J89" s="84">
        <f t="shared" si="24"/>
        <v>3794</v>
      </c>
      <c r="K89" s="84">
        <f t="shared" si="25"/>
        <v>47312</v>
      </c>
      <c r="L89" s="84">
        <f t="shared" si="26"/>
        <v>22945</v>
      </c>
      <c r="M89" s="24"/>
    </row>
    <row r="90" spans="1:13" ht="30" customHeight="1">
      <c r="A90" s="21" t="s">
        <v>40</v>
      </c>
      <c r="B90" s="22" t="s">
        <v>41</v>
      </c>
      <c r="C90" s="71">
        <v>0.203</v>
      </c>
      <c r="D90" s="22" t="s">
        <v>30</v>
      </c>
      <c r="E90" s="83"/>
      <c r="F90" s="83">
        <f t="shared" si="22"/>
        <v>0</v>
      </c>
      <c r="G90" s="83"/>
      <c r="H90" s="83">
        <f t="shared" si="23"/>
        <v>0</v>
      </c>
      <c r="I90" s="84">
        <f>I33</f>
        <v>77</v>
      </c>
      <c r="J90" s="84">
        <f t="shared" si="24"/>
        <v>15</v>
      </c>
      <c r="K90" s="84">
        <f t="shared" si="25"/>
        <v>77</v>
      </c>
      <c r="L90" s="84">
        <f t="shared" si="26"/>
        <v>15</v>
      </c>
      <c r="M90" s="24"/>
    </row>
    <row r="91" spans="1:13" ht="30" customHeight="1">
      <c r="A91" s="25" t="s">
        <v>19</v>
      </c>
      <c r="B91" s="26" t="s">
        <v>20</v>
      </c>
      <c r="C91" s="53">
        <v>1</v>
      </c>
      <c r="D91" s="26" t="s">
        <v>21</v>
      </c>
      <c r="E91" s="82"/>
      <c r="F91" s="84">
        <f>INT(SUM(F80:F90)*0.03)</f>
        <v>7087</v>
      </c>
      <c r="G91" s="82"/>
      <c r="H91" s="82"/>
      <c r="I91" s="92"/>
      <c r="J91" s="92"/>
      <c r="K91" s="92"/>
      <c r="L91" s="84">
        <f t="shared" si="26"/>
        <v>7087</v>
      </c>
      <c r="M91" s="28"/>
    </row>
    <row r="92" spans="1:13" ht="30" customHeight="1">
      <c r="A92" s="25" t="s">
        <v>42</v>
      </c>
      <c r="B92" s="26" t="s">
        <v>43</v>
      </c>
      <c r="C92" s="53">
        <v>1</v>
      </c>
      <c r="D92" s="26" t="s">
        <v>21</v>
      </c>
      <c r="E92" s="82"/>
      <c r="F92" s="82">
        <f>INT(SUM(H80:H90)*0.02)</f>
        <v>975</v>
      </c>
      <c r="G92" s="82"/>
      <c r="H92" s="84"/>
      <c r="I92" s="92"/>
      <c r="J92" s="92"/>
      <c r="K92" s="92"/>
      <c r="L92" s="84">
        <f t="shared" si="26"/>
        <v>975</v>
      </c>
      <c r="M92" s="28"/>
    </row>
    <row r="93" spans="1:13" ht="30" customHeight="1">
      <c r="A93" s="25" t="s">
        <v>49</v>
      </c>
      <c r="B93" s="26"/>
      <c r="C93" s="53"/>
      <c r="D93" s="26"/>
      <c r="E93" s="82"/>
      <c r="F93" s="92">
        <f>SUM(F80:F92)</f>
        <v>244317</v>
      </c>
      <c r="G93" s="82"/>
      <c r="H93" s="92">
        <f>SUM(H80:H92)</f>
        <v>48750</v>
      </c>
      <c r="I93" s="92"/>
      <c r="J93" s="92">
        <f>SUM(J80:J92)</f>
        <v>21714</v>
      </c>
      <c r="K93" s="92"/>
      <c r="L93" s="92">
        <f>SUM(L80:L92)</f>
        <v>314781</v>
      </c>
      <c r="M93" s="28"/>
    </row>
    <row r="94" spans="1:13" ht="30" customHeight="1">
      <c r="A94" s="25"/>
      <c r="B94" s="26"/>
      <c r="C94" s="53"/>
      <c r="D94" s="26"/>
      <c r="E94" s="82"/>
      <c r="F94" s="92"/>
      <c r="G94" s="82"/>
      <c r="H94" s="92"/>
      <c r="I94" s="92"/>
      <c r="J94" s="92"/>
      <c r="K94" s="92"/>
      <c r="L94" s="92"/>
      <c r="M94" s="28"/>
    </row>
    <row r="95" spans="1:13" ht="30" customHeight="1">
      <c r="A95" s="25"/>
      <c r="B95" s="26"/>
      <c r="C95" s="53"/>
      <c r="D95" s="26"/>
      <c r="E95" s="82"/>
      <c r="F95" s="92"/>
      <c r="G95" s="82"/>
      <c r="H95" s="92"/>
      <c r="I95" s="92"/>
      <c r="J95" s="92"/>
      <c r="K95" s="92"/>
      <c r="L95" s="92"/>
      <c r="M95" s="28"/>
    </row>
    <row r="96" spans="1:13" ht="30" customHeight="1">
      <c r="A96" s="25"/>
      <c r="B96" s="26"/>
      <c r="C96" s="53"/>
      <c r="D96" s="26"/>
      <c r="E96" s="82"/>
      <c r="F96" s="92"/>
      <c r="G96" s="82"/>
      <c r="H96" s="92"/>
      <c r="I96" s="92"/>
      <c r="J96" s="92"/>
      <c r="K96" s="92"/>
      <c r="L96" s="92"/>
      <c r="M96" s="28"/>
    </row>
    <row r="97" spans="1:13" ht="30" customHeight="1" thickBot="1">
      <c r="A97" s="29"/>
      <c r="B97" s="30"/>
      <c r="C97" s="51"/>
      <c r="D97" s="30"/>
      <c r="E97" s="93"/>
      <c r="F97" s="93"/>
      <c r="G97" s="93"/>
      <c r="H97" s="93"/>
      <c r="I97" s="93"/>
      <c r="J97" s="93"/>
      <c r="K97" s="93"/>
      <c r="L97" s="93"/>
      <c r="M97" s="32"/>
    </row>
    <row r="98" spans="1:13" ht="30" customHeight="1">
      <c r="A98" s="17" t="s">
        <v>151</v>
      </c>
      <c r="B98" s="18"/>
      <c r="C98" s="52"/>
      <c r="D98" s="19"/>
      <c r="E98" s="83"/>
      <c r="F98" s="91"/>
      <c r="G98" s="91"/>
      <c r="H98" s="91"/>
      <c r="I98" s="91"/>
      <c r="J98" s="91"/>
      <c r="K98" s="91"/>
      <c r="L98" s="91"/>
      <c r="M98" s="20"/>
    </row>
    <row r="99" spans="1:13" ht="30" customHeight="1">
      <c r="A99" s="21" t="s">
        <v>77</v>
      </c>
      <c r="B99" s="213" t="str">
        <f>B80</f>
        <v>HI - 그린</v>
      </c>
      <c r="C99" s="47">
        <v>220</v>
      </c>
      <c r="D99" s="22" t="s">
        <v>31</v>
      </c>
      <c r="E99" s="84">
        <f>E42</f>
        <v>840</v>
      </c>
      <c r="F99" s="84">
        <f aca="true" t="shared" si="28" ref="F99:F109">INT(E99*C99)</f>
        <v>184800</v>
      </c>
      <c r="G99" s="83"/>
      <c r="H99" s="83">
        <f aca="true" t="shared" si="29" ref="H99:H109">INT(G99*C99)</f>
        <v>0</v>
      </c>
      <c r="I99" s="83"/>
      <c r="J99" s="83">
        <f aca="true" t="shared" si="30" ref="J99:J109">INT(I99*C99)</f>
        <v>0</v>
      </c>
      <c r="K99" s="84">
        <f aca="true" t="shared" si="31" ref="K99:K109">E99+G99+I99</f>
        <v>840</v>
      </c>
      <c r="L99" s="84">
        <f aca="true" t="shared" si="32" ref="L99:L111">+J99+H99+F99</f>
        <v>184800</v>
      </c>
      <c r="M99" s="61"/>
    </row>
    <row r="100" spans="1:13" ht="30" customHeight="1">
      <c r="A100" s="21" t="s">
        <v>78</v>
      </c>
      <c r="B100" s="45" t="s">
        <v>46</v>
      </c>
      <c r="C100" s="47">
        <v>40</v>
      </c>
      <c r="D100" s="22" t="s">
        <v>32</v>
      </c>
      <c r="E100" s="84">
        <f>E43</f>
        <v>40</v>
      </c>
      <c r="F100" s="84">
        <f t="shared" si="28"/>
        <v>1600</v>
      </c>
      <c r="G100" s="83"/>
      <c r="H100" s="83">
        <f t="shared" si="29"/>
        <v>0</v>
      </c>
      <c r="I100" s="83"/>
      <c r="J100" s="83">
        <f t="shared" si="30"/>
        <v>0</v>
      </c>
      <c r="K100" s="84">
        <f t="shared" si="31"/>
        <v>40</v>
      </c>
      <c r="L100" s="84">
        <f t="shared" si="32"/>
        <v>1600</v>
      </c>
      <c r="M100" s="61"/>
    </row>
    <row r="101" spans="1:13" ht="30" customHeight="1">
      <c r="A101" s="21" t="s">
        <v>202</v>
      </c>
      <c r="B101" s="45" t="str">
        <f>B82</f>
        <v>표준형</v>
      </c>
      <c r="C101" s="47">
        <v>0.2</v>
      </c>
      <c r="D101" s="22" t="s">
        <v>33</v>
      </c>
      <c r="E101" s="84">
        <f>E44</f>
        <v>170000</v>
      </c>
      <c r="F101" s="84">
        <f t="shared" si="28"/>
        <v>34000</v>
      </c>
      <c r="G101" s="83"/>
      <c r="H101" s="83">
        <f t="shared" si="29"/>
        <v>0</v>
      </c>
      <c r="I101" s="83"/>
      <c r="J101" s="83">
        <f t="shared" si="30"/>
        <v>0</v>
      </c>
      <c r="K101" s="84">
        <f t="shared" si="31"/>
        <v>170000</v>
      </c>
      <c r="L101" s="84">
        <f t="shared" si="32"/>
        <v>34000</v>
      </c>
      <c r="M101" s="62"/>
    </row>
    <row r="102" spans="1:13" ht="30" customHeight="1">
      <c r="A102" s="21" t="s">
        <v>15</v>
      </c>
      <c r="B102" s="22"/>
      <c r="C102" s="71">
        <v>0.034</v>
      </c>
      <c r="D102" s="22" t="s">
        <v>16</v>
      </c>
      <c r="E102" s="83"/>
      <c r="F102" s="83">
        <f t="shared" si="28"/>
        <v>0</v>
      </c>
      <c r="G102" s="46">
        <f aca="true" t="shared" si="33" ref="G102:G108">G45</f>
        <v>105826</v>
      </c>
      <c r="H102" s="84">
        <f t="shared" si="29"/>
        <v>3598</v>
      </c>
      <c r="I102" s="83"/>
      <c r="J102" s="83">
        <f t="shared" si="30"/>
        <v>0</v>
      </c>
      <c r="K102" s="84">
        <f t="shared" si="31"/>
        <v>105826</v>
      </c>
      <c r="L102" s="84">
        <f t="shared" si="32"/>
        <v>3598</v>
      </c>
      <c r="M102" s="43"/>
    </row>
    <row r="103" spans="1:13" ht="30" customHeight="1">
      <c r="A103" s="21" t="s">
        <v>17</v>
      </c>
      <c r="B103" s="22"/>
      <c r="C103" s="71">
        <v>0.067</v>
      </c>
      <c r="D103" s="22" t="s">
        <v>16</v>
      </c>
      <c r="E103" s="83"/>
      <c r="F103" s="83">
        <f t="shared" si="28"/>
        <v>0</v>
      </c>
      <c r="G103" s="46">
        <f t="shared" si="33"/>
        <v>102334</v>
      </c>
      <c r="H103" s="84">
        <f t="shared" si="29"/>
        <v>6856</v>
      </c>
      <c r="I103" s="83"/>
      <c r="J103" s="83">
        <f t="shared" si="30"/>
        <v>0</v>
      </c>
      <c r="K103" s="84">
        <f t="shared" si="31"/>
        <v>102334</v>
      </c>
      <c r="L103" s="84">
        <f t="shared" si="32"/>
        <v>6856</v>
      </c>
      <c r="M103" s="24"/>
    </row>
    <row r="104" spans="1:13" ht="30" customHeight="1">
      <c r="A104" s="21" t="s">
        <v>18</v>
      </c>
      <c r="B104" s="22"/>
      <c r="C104" s="71">
        <v>0.178</v>
      </c>
      <c r="D104" s="22" t="s">
        <v>16</v>
      </c>
      <c r="E104" s="83"/>
      <c r="F104" s="83">
        <f t="shared" si="28"/>
        <v>0</v>
      </c>
      <c r="G104" s="46">
        <f t="shared" si="33"/>
        <v>84166</v>
      </c>
      <c r="H104" s="84">
        <f t="shared" si="29"/>
        <v>14981</v>
      </c>
      <c r="I104" s="83"/>
      <c r="J104" s="83">
        <f t="shared" si="30"/>
        <v>0</v>
      </c>
      <c r="K104" s="84">
        <f t="shared" si="31"/>
        <v>84166</v>
      </c>
      <c r="L104" s="84">
        <f t="shared" si="32"/>
        <v>14981</v>
      </c>
      <c r="M104" s="24"/>
    </row>
    <row r="105" spans="1:13" ht="30" customHeight="1">
      <c r="A105" s="21" t="s">
        <v>34</v>
      </c>
      <c r="B105" s="22" t="s">
        <v>47</v>
      </c>
      <c r="C105" s="71">
        <v>0.203</v>
      </c>
      <c r="D105" s="22" t="s">
        <v>30</v>
      </c>
      <c r="E105" s="84">
        <f>E48</f>
        <v>11166</v>
      </c>
      <c r="F105" s="84">
        <f t="shared" si="28"/>
        <v>2266</v>
      </c>
      <c r="G105" s="84">
        <f t="shared" si="33"/>
        <v>18695</v>
      </c>
      <c r="H105" s="84">
        <f t="shared" si="29"/>
        <v>3795</v>
      </c>
      <c r="I105" s="84">
        <f>I48</f>
        <v>71731</v>
      </c>
      <c r="J105" s="84">
        <f t="shared" si="30"/>
        <v>14561</v>
      </c>
      <c r="K105" s="84">
        <f t="shared" si="31"/>
        <v>101592</v>
      </c>
      <c r="L105" s="84">
        <f t="shared" si="32"/>
        <v>20622</v>
      </c>
      <c r="M105" s="24"/>
    </row>
    <row r="106" spans="1:13" ht="30" customHeight="1">
      <c r="A106" s="21" t="s">
        <v>35</v>
      </c>
      <c r="B106" s="22" t="s">
        <v>36</v>
      </c>
      <c r="C106" s="71">
        <v>0.203</v>
      </c>
      <c r="D106" s="22" t="s">
        <v>30</v>
      </c>
      <c r="E106" s="84">
        <f>E49</f>
        <v>8898</v>
      </c>
      <c r="F106" s="84">
        <f t="shared" si="28"/>
        <v>1806</v>
      </c>
      <c r="G106" s="84">
        <f t="shared" si="33"/>
        <v>21911</v>
      </c>
      <c r="H106" s="84">
        <f t="shared" si="29"/>
        <v>4447</v>
      </c>
      <c r="I106" s="84">
        <f>I49</f>
        <v>10362</v>
      </c>
      <c r="J106" s="84">
        <f t="shared" si="30"/>
        <v>2103</v>
      </c>
      <c r="K106" s="84">
        <f t="shared" si="31"/>
        <v>41171</v>
      </c>
      <c r="L106" s="84">
        <f t="shared" si="32"/>
        <v>8356</v>
      </c>
      <c r="M106" s="24"/>
    </row>
    <row r="107" spans="1:13" ht="30" customHeight="1">
      <c r="A107" s="21" t="s">
        <v>45</v>
      </c>
      <c r="B107" s="22" t="s">
        <v>37</v>
      </c>
      <c r="C107" s="71">
        <v>0.203</v>
      </c>
      <c r="D107" s="22" t="s">
        <v>30</v>
      </c>
      <c r="E107" s="84">
        <f>E50</f>
        <v>16052</v>
      </c>
      <c r="F107" s="84">
        <f t="shared" si="28"/>
        <v>3258</v>
      </c>
      <c r="G107" s="84">
        <f t="shared" si="33"/>
        <v>21911</v>
      </c>
      <c r="H107" s="84">
        <f t="shared" si="29"/>
        <v>4447</v>
      </c>
      <c r="I107" s="84">
        <f>I50</f>
        <v>6117</v>
      </c>
      <c r="J107" s="84">
        <f t="shared" si="30"/>
        <v>1241</v>
      </c>
      <c r="K107" s="84">
        <f t="shared" si="31"/>
        <v>44080</v>
      </c>
      <c r="L107" s="84">
        <f t="shared" si="32"/>
        <v>8946</v>
      </c>
      <c r="M107" s="24"/>
    </row>
    <row r="108" spans="1:13" ht="30" customHeight="1">
      <c r="A108" s="21" t="s">
        <v>38</v>
      </c>
      <c r="B108" s="22" t="s">
        <v>39</v>
      </c>
      <c r="C108" s="71">
        <v>0.485</v>
      </c>
      <c r="D108" s="22" t="s">
        <v>30</v>
      </c>
      <c r="E108" s="84">
        <f>E51</f>
        <v>17578</v>
      </c>
      <c r="F108" s="84">
        <f t="shared" si="28"/>
        <v>8525</v>
      </c>
      <c r="G108" s="84">
        <f t="shared" si="33"/>
        <v>21911</v>
      </c>
      <c r="H108" s="84">
        <f t="shared" si="29"/>
        <v>10626</v>
      </c>
      <c r="I108" s="84">
        <f>I51</f>
        <v>7823</v>
      </c>
      <c r="J108" s="84">
        <f t="shared" si="30"/>
        <v>3794</v>
      </c>
      <c r="K108" s="84">
        <f t="shared" si="31"/>
        <v>47312</v>
      </c>
      <c r="L108" s="84">
        <f t="shared" si="32"/>
        <v>22945</v>
      </c>
      <c r="M108" s="24"/>
    </row>
    <row r="109" spans="1:13" ht="30" customHeight="1">
      <c r="A109" s="21" t="s">
        <v>40</v>
      </c>
      <c r="B109" s="22" t="s">
        <v>41</v>
      </c>
      <c r="C109" s="71">
        <v>0.203</v>
      </c>
      <c r="D109" s="22" t="s">
        <v>30</v>
      </c>
      <c r="E109" s="83"/>
      <c r="F109" s="83">
        <f t="shared" si="28"/>
        <v>0</v>
      </c>
      <c r="G109" s="83"/>
      <c r="H109" s="83">
        <f t="shared" si="29"/>
        <v>0</v>
      </c>
      <c r="I109" s="84">
        <f>I52</f>
        <v>77</v>
      </c>
      <c r="J109" s="84">
        <f t="shared" si="30"/>
        <v>15</v>
      </c>
      <c r="K109" s="84">
        <f t="shared" si="31"/>
        <v>77</v>
      </c>
      <c r="L109" s="84">
        <f t="shared" si="32"/>
        <v>15</v>
      </c>
      <c r="M109" s="24"/>
    </row>
    <row r="110" spans="1:13" ht="30" customHeight="1">
      <c r="A110" s="25" t="s">
        <v>19</v>
      </c>
      <c r="B110" s="26" t="s">
        <v>20</v>
      </c>
      <c r="C110" s="53">
        <v>1</v>
      </c>
      <c r="D110" s="26" t="s">
        <v>21</v>
      </c>
      <c r="E110" s="82"/>
      <c r="F110" s="84">
        <f>INT(SUM(F99:F109)*0.03)</f>
        <v>7087</v>
      </c>
      <c r="G110" s="82"/>
      <c r="H110" s="82"/>
      <c r="I110" s="92"/>
      <c r="J110" s="92"/>
      <c r="K110" s="92"/>
      <c r="L110" s="84">
        <f t="shared" si="32"/>
        <v>7087</v>
      </c>
      <c r="M110" s="28"/>
    </row>
    <row r="111" spans="1:13" ht="30" customHeight="1">
      <c r="A111" s="25" t="s">
        <v>42</v>
      </c>
      <c r="B111" s="26" t="s">
        <v>43</v>
      </c>
      <c r="C111" s="53">
        <v>1</v>
      </c>
      <c r="D111" s="26" t="s">
        <v>21</v>
      </c>
      <c r="E111" s="82"/>
      <c r="F111" s="82">
        <f>INT(SUM(H99:H109)*0.02)</f>
        <v>975</v>
      </c>
      <c r="G111" s="82"/>
      <c r="H111" s="84"/>
      <c r="I111" s="92"/>
      <c r="J111" s="92"/>
      <c r="K111" s="92"/>
      <c r="L111" s="84">
        <f t="shared" si="32"/>
        <v>975</v>
      </c>
      <c r="M111" s="28"/>
    </row>
    <row r="112" spans="1:13" ht="30" customHeight="1">
      <c r="A112" s="11" t="s">
        <v>65</v>
      </c>
      <c r="B112" s="74" t="s">
        <v>60</v>
      </c>
      <c r="C112" s="53"/>
      <c r="D112" s="26" t="s">
        <v>58</v>
      </c>
      <c r="E112" s="82"/>
      <c r="F112" s="82">
        <f>'참고자료-안정화재'!F29</f>
        <v>13390</v>
      </c>
      <c r="G112" s="82"/>
      <c r="H112" s="82">
        <f>'참고자료-안정화재'!H29</f>
        <v>41577</v>
      </c>
      <c r="I112" s="82"/>
      <c r="J112" s="82">
        <f>'참고자료-안정화재'!J29</f>
        <v>0</v>
      </c>
      <c r="K112" s="82"/>
      <c r="L112" s="84">
        <f>+J112+H112+F112</f>
        <v>54967</v>
      </c>
      <c r="M112" s="146" t="s">
        <v>131</v>
      </c>
    </row>
    <row r="113" spans="1:13" ht="30" customHeight="1">
      <c r="A113" s="25" t="s">
        <v>49</v>
      </c>
      <c r="B113" s="26"/>
      <c r="C113" s="53"/>
      <c r="D113" s="26"/>
      <c r="E113" s="82"/>
      <c r="F113" s="92">
        <f>SUM(F99:F112)</f>
        <v>257707</v>
      </c>
      <c r="G113" s="82"/>
      <c r="H113" s="92">
        <f>SUM(H99:H112)</f>
        <v>90327</v>
      </c>
      <c r="I113" s="92"/>
      <c r="J113" s="92">
        <f>SUM(J99:J112)</f>
        <v>21714</v>
      </c>
      <c r="K113" s="92"/>
      <c r="L113" s="92">
        <f>SUM(L99:L112)</f>
        <v>369748</v>
      </c>
      <c r="M113" s="28"/>
    </row>
    <row r="114" spans="1:13" ht="30" customHeight="1">
      <c r="A114" s="25"/>
      <c r="B114" s="26"/>
      <c r="C114" s="53"/>
      <c r="D114" s="26"/>
      <c r="E114" s="82"/>
      <c r="F114" s="92"/>
      <c r="G114" s="82"/>
      <c r="H114" s="92"/>
      <c r="I114" s="92"/>
      <c r="J114" s="92"/>
      <c r="K114" s="92"/>
      <c r="L114" s="92"/>
      <c r="M114" s="28"/>
    </row>
    <row r="115" spans="1:13" ht="30" customHeight="1">
      <c r="A115" s="25"/>
      <c r="B115" s="26"/>
      <c r="C115" s="53"/>
      <c r="D115" s="26"/>
      <c r="E115" s="82"/>
      <c r="F115" s="92"/>
      <c r="G115" s="82"/>
      <c r="H115" s="92"/>
      <c r="I115" s="92"/>
      <c r="J115" s="92"/>
      <c r="K115" s="92"/>
      <c r="L115" s="92"/>
      <c r="M115" s="28"/>
    </row>
    <row r="116" spans="1:13" ht="30" customHeight="1" thickBot="1">
      <c r="A116" s="29"/>
      <c r="B116" s="30"/>
      <c r="C116" s="51"/>
      <c r="D116" s="30"/>
      <c r="E116" s="93"/>
      <c r="F116" s="93"/>
      <c r="G116" s="93"/>
      <c r="H116" s="93"/>
      <c r="I116" s="93"/>
      <c r="J116" s="93"/>
      <c r="K116" s="93"/>
      <c r="L116" s="93"/>
      <c r="M116" s="32"/>
    </row>
    <row r="117" spans="1:13" ht="30" customHeight="1">
      <c r="A117" s="17" t="s">
        <v>188</v>
      </c>
      <c r="B117" s="18"/>
      <c r="C117" s="52"/>
      <c r="D117" s="19"/>
      <c r="E117" s="83"/>
      <c r="F117" s="91"/>
      <c r="G117" s="91"/>
      <c r="H117" s="91"/>
      <c r="I117" s="91"/>
      <c r="J117" s="91"/>
      <c r="K117" s="91"/>
      <c r="L117" s="91"/>
      <c r="M117" s="20"/>
    </row>
    <row r="118" spans="1:13" ht="30" customHeight="1">
      <c r="A118" s="21" t="s">
        <v>77</v>
      </c>
      <c r="B118" s="213" t="str">
        <f>B99</f>
        <v>HI - 그린</v>
      </c>
      <c r="C118" s="47">
        <v>330</v>
      </c>
      <c r="D118" s="22" t="s">
        <v>31</v>
      </c>
      <c r="E118" s="84">
        <f>E80</f>
        <v>840</v>
      </c>
      <c r="F118" s="84">
        <f aca="true" t="shared" si="34" ref="F118:F128">INT(E118*C118)</f>
        <v>277200</v>
      </c>
      <c r="G118" s="83"/>
      <c r="H118" s="83">
        <f aca="true" t="shared" si="35" ref="H118:H128">INT(G118*C118)</f>
        <v>0</v>
      </c>
      <c r="I118" s="83"/>
      <c r="J118" s="83">
        <f aca="true" t="shared" si="36" ref="J118:J128">INT(I118*C118)</f>
        <v>0</v>
      </c>
      <c r="K118" s="84">
        <f aca="true" t="shared" si="37" ref="K118:K128">E118+G118+I118</f>
        <v>840</v>
      </c>
      <c r="L118" s="84">
        <f aca="true" t="shared" si="38" ref="L118:L130">+J118+H118+F118</f>
        <v>277200</v>
      </c>
      <c r="M118" s="61"/>
    </row>
    <row r="119" spans="1:13" ht="30" customHeight="1">
      <c r="A119" s="21" t="s">
        <v>78</v>
      </c>
      <c r="B119" s="45" t="s">
        <v>46</v>
      </c>
      <c r="C119" s="47">
        <v>60</v>
      </c>
      <c r="D119" s="22" t="s">
        <v>32</v>
      </c>
      <c r="E119" s="84">
        <f>E81</f>
        <v>40</v>
      </c>
      <c r="F119" s="84">
        <f t="shared" si="34"/>
        <v>2400</v>
      </c>
      <c r="G119" s="83"/>
      <c r="H119" s="83">
        <f t="shared" si="35"/>
        <v>0</v>
      </c>
      <c r="I119" s="83"/>
      <c r="J119" s="83">
        <f t="shared" si="36"/>
        <v>0</v>
      </c>
      <c r="K119" s="84">
        <f t="shared" si="37"/>
        <v>40</v>
      </c>
      <c r="L119" s="84">
        <f t="shared" si="38"/>
        <v>2400</v>
      </c>
      <c r="M119" s="61"/>
    </row>
    <row r="120" spans="1:13" ht="30" customHeight="1">
      <c r="A120" s="21" t="s">
        <v>202</v>
      </c>
      <c r="B120" s="45" t="str">
        <f>B101</f>
        <v>표준형</v>
      </c>
      <c r="C120" s="47">
        <v>0.2</v>
      </c>
      <c r="D120" s="22" t="s">
        <v>33</v>
      </c>
      <c r="E120" s="84">
        <f>E82</f>
        <v>170000</v>
      </c>
      <c r="F120" s="84">
        <f t="shared" si="34"/>
        <v>34000</v>
      </c>
      <c r="G120" s="83"/>
      <c r="H120" s="83">
        <f t="shared" si="35"/>
        <v>0</v>
      </c>
      <c r="I120" s="83"/>
      <c r="J120" s="83">
        <f t="shared" si="36"/>
        <v>0</v>
      </c>
      <c r="K120" s="84">
        <f t="shared" si="37"/>
        <v>170000</v>
      </c>
      <c r="L120" s="84">
        <f t="shared" si="38"/>
        <v>34000</v>
      </c>
      <c r="M120" s="62"/>
    </row>
    <row r="121" spans="1:13" ht="30" customHeight="1">
      <c r="A121" s="21" t="s">
        <v>15</v>
      </c>
      <c r="B121" s="22"/>
      <c r="C121" s="71">
        <v>0.046</v>
      </c>
      <c r="D121" s="22" t="s">
        <v>16</v>
      </c>
      <c r="E121" s="83"/>
      <c r="F121" s="83">
        <f t="shared" si="34"/>
        <v>0</v>
      </c>
      <c r="G121" s="46">
        <f aca="true" t="shared" si="39" ref="G121:G127">G83</f>
        <v>105826</v>
      </c>
      <c r="H121" s="84">
        <f t="shared" si="35"/>
        <v>4867</v>
      </c>
      <c r="I121" s="83"/>
      <c r="J121" s="83">
        <f t="shared" si="36"/>
        <v>0</v>
      </c>
      <c r="K121" s="84">
        <f t="shared" si="37"/>
        <v>105826</v>
      </c>
      <c r="L121" s="84">
        <f t="shared" si="38"/>
        <v>4867</v>
      </c>
      <c r="M121" s="43"/>
    </row>
    <row r="122" spans="1:13" ht="30" customHeight="1">
      <c r="A122" s="21" t="s">
        <v>17</v>
      </c>
      <c r="B122" s="22"/>
      <c r="C122" s="71">
        <v>0.091</v>
      </c>
      <c r="D122" s="22" t="s">
        <v>16</v>
      </c>
      <c r="E122" s="83"/>
      <c r="F122" s="83">
        <f t="shared" si="34"/>
        <v>0</v>
      </c>
      <c r="G122" s="46">
        <f t="shared" si="39"/>
        <v>102334</v>
      </c>
      <c r="H122" s="84">
        <f t="shared" si="35"/>
        <v>9312</v>
      </c>
      <c r="I122" s="83"/>
      <c r="J122" s="83">
        <f t="shared" si="36"/>
        <v>0</v>
      </c>
      <c r="K122" s="84">
        <f t="shared" si="37"/>
        <v>102334</v>
      </c>
      <c r="L122" s="84">
        <f t="shared" si="38"/>
        <v>9312</v>
      </c>
      <c r="M122" s="24"/>
    </row>
    <row r="123" spans="1:13" ht="30" customHeight="1">
      <c r="A123" s="21" t="s">
        <v>18</v>
      </c>
      <c r="B123" s="22"/>
      <c r="C123" s="71">
        <v>0.223</v>
      </c>
      <c r="D123" s="22" t="s">
        <v>16</v>
      </c>
      <c r="E123" s="83"/>
      <c r="F123" s="83">
        <f t="shared" si="34"/>
        <v>0</v>
      </c>
      <c r="G123" s="46">
        <f t="shared" si="39"/>
        <v>84166</v>
      </c>
      <c r="H123" s="84">
        <f t="shared" si="35"/>
        <v>18769</v>
      </c>
      <c r="I123" s="83"/>
      <c r="J123" s="83">
        <f t="shared" si="36"/>
        <v>0</v>
      </c>
      <c r="K123" s="84">
        <f t="shared" si="37"/>
        <v>84166</v>
      </c>
      <c r="L123" s="84">
        <f t="shared" si="38"/>
        <v>18769</v>
      </c>
      <c r="M123" s="24"/>
    </row>
    <row r="124" spans="1:13" ht="30" customHeight="1">
      <c r="A124" s="21" t="s">
        <v>34</v>
      </c>
      <c r="B124" s="22" t="s">
        <v>47</v>
      </c>
      <c r="C124" s="71">
        <v>0.277</v>
      </c>
      <c r="D124" s="22" t="s">
        <v>30</v>
      </c>
      <c r="E124" s="84">
        <f>E86</f>
        <v>11166</v>
      </c>
      <c r="F124" s="84">
        <f t="shared" si="34"/>
        <v>3092</v>
      </c>
      <c r="G124" s="84">
        <f t="shared" si="39"/>
        <v>18695</v>
      </c>
      <c r="H124" s="84">
        <f t="shared" si="35"/>
        <v>5178</v>
      </c>
      <c r="I124" s="84">
        <f>I86</f>
        <v>71731</v>
      </c>
      <c r="J124" s="84">
        <f t="shared" si="36"/>
        <v>19869</v>
      </c>
      <c r="K124" s="84">
        <f t="shared" si="37"/>
        <v>101592</v>
      </c>
      <c r="L124" s="84">
        <f t="shared" si="38"/>
        <v>28139</v>
      </c>
      <c r="M124" s="24"/>
    </row>
    <row r="125" spans="1:13" ht="30" customHeight="1">
      <c r="A125" s="21" t="s">
        <v>35</v>
      </c>
      <c r="B125" s="22" t="s">
        <v>36</v>
      </c>
      <c r="C125" s="71">
        <v>0.277</v>
      </c>
      <c r="D125" s="22" t="s">
        <v>30</v>
      </c>
      <c r="E125" s="84">
        <f>E87</f>
        <v>8898</v>
      </c>
      <c r="F125" s="84">
        <f t="shared" si="34"/>
        <v>2464</v>
      </c>
      <c r="G125" s="84">
        <f t="shared" si="39"/>
        <v>21911</v>
      </c>
      <c r="H125" s="84">
        <f t="shared" si="35"/>
        <v>6069</v>
      </c>
      <c r="I125" s="84">
        <f>I87</f>
        <v>10362</v>
      </c>
      <c r="J125" s="84">
        <f t="shared" si="36"/>
        <v>2870</v>
      </c>
      <c r="K125" s="84">
        <f t="shared" si="37"/>
        <v>41171</v>
      </c>
      <c r="L125" s="84">
        <f t="shared" si="38"/>
        <v>11403</v>
      </c>
      <c r="M125" s="24"/>
    </row>
    <row r="126" spans="1:13" ht="30" customHeight="1">
      <c r="A126" s="21" t="s">
        <v>45</v>
      </c>
      <c r="B126" s="22" t="s">
        <v>37</v>
      </c>
      <c r="C126" s="71">
        <v>0.277</v>
      </c>
      <c r="D126" s="22" t="s">
        <v>30</v>
      </c>
      <c r="E126" s="84">
        <f>E88</f>
        <v>16052</v>
      </c>
      <c r="F126" s="84">
        <f t="shared" si="34"/>
        <v>4446</v>
      </c>
      <c r="G126" s="84">
        <f t="shared" si="39"/>
        <v>21911</v>
      </c>
      <c r="H126" s="84">
        <f t="shared" si="35"/>
        <v>6069</v>
      </c>
      <c r="I126" s="84">
        <f>I88</f>
        <v>6117</v>
      </c>
      <c r="J126" s="84">
        <f t="shared" si="36"/>
        <v>1694</v>
      </c>
      <c r="K126" s="84">
        <f t="shared" si="37"/>
        <v>44080</v>
      </c>
      <c r="L126" s="84">
        <f t="shared" si="38"/>
        <v>12209</v>
      </c>
      <c r="M126" s="24"/>
    </row>
    <row r="127" spans="1:13" ht="30" customHeight="1">
      <c r="A127" s="21" t="s">
        <v>38</v>
      </c>
      <c r="B127" s="22" t="s">
        <v>39</v>
      </c>
      <c r="C127" s="71">
        <v>0.554</v>
      </c>
      <c r="D127" s="22" t="s">
        <v>30</v>
      </c>
      <c r="E127" s="84">
        <f>E89</f>
        <v>17578</v>
      </c>
      <c r="F127" s="84">
        <f t="shared" si="34"/>
        <v>9738</v>
      </c>
      <c r="G127" s="84">
        <f t="shared" si="39"/>
        <v>21911</v>
      </c>
      <c r="H127" s="84">
        <f t="shared" si="35"/>
        <v>12138</v>
      </c>
      <c r="I127" s="84">
        <f>I89</f>
        <v>7823</v>
      </c>
      <c r="J127" s="84">
        <f t="shared" si="36"/>
        <v>4333</v>
      </c>
      <c r="K127" s="84">
        <f t="shared" si="37"/>
        <v>47312</v>
      </c>
      <c r="L127" s="84">
        <f t="shared" si="38"/>
        <v>26209</v>
      </c>
      <c r="M127" s="24"/>
    </row>
    <row r="128" spans="1:13" ht="30" customHeight="1">
      <c r="A128" s="21" t="s">
        <v>40</v>
      </c>
      <c r="B128" s="22" t="s">
        <v>41</v>
      </c>
      <c r="C128" s="71">
        <v>0.277</v>
      </c>
      <c r="D128" s="22" t="s">
        <v>30</v>
      </c>
      <c r="E128" s="83"/>
      <c r="F128" s="83">
        <f t="shared" si="34"/>
        <v>0</v>
      </c>
      <c r="G128" s="83"/>
      <c r="H128" s="83">
        <f t="shared" si="35"/>
        <v>0</v>
      </c>
      <c r="I128" s="84">
        <f>I90</f>
        <v>77</v>
      </c>
      <c r="J128" s="84">
        <f t="shared" si="36"/>
        <v>21</v>
      </c>
      <c r="K128" s="84">
        <f t="shared" si="37"/>
        <v>77</v>
      </c>
      <c r="L128" s="84">
        <f t="shared" si="38"/>
        <v>21</v>
      </c>
      <c r="M128" s="85"/>
    </row>
    <row r="129" spans="1:13" ht="30" customHeight="1">
      <c r="A129" s="25" t="s">
        <v>19</v>
      </c>
      <c r="B129" s="26" t="s">
        <v>20</v>
      </c>
      <c r="C129" s="53">
        <v>1</v>
      </c>
      <c r="D129" s="26" t="s">
        <v>21</v>
      </c>
      <c r="E129" s="82"/>
      <c r="F129" s="84">
        <f>INT(SUM(F118:F128)*0.03)</f>
        <v>10000</v>
      </c>
      <c r="G129" s="82"/>
      <c r="H129" s="82">
        <v>0</v>
      </c>
      <c r="I129" s="92"/>
      <c r="J129" s="92">
        <v>0</v>
      </c>
      <c r="K129" s="92"/>
      <c r="L129" s="84">
        <f t="shared" si="38"/>
        <v>10000</v>
      </c>
      <c r="M129" s="28"/>
    </row>
    <row r="130" spans="1:13" ht="30" customHeight="1">
      <c r="A130" s="25" t="s">
        <v>42</v>
      </c>
      <c r="B130" s="26" t="s">
        <v>43</v>
      </c>
      <c r="C130" s="53">
        <v>1</v>
      </c>
      <c r="D130" s="26" t="s">
        <v>21</v>
      </c>
      <c r="E130" s="82"/>
      <c r="F130" s="82">
        <f>INT(SUM(H118:H128)*0.02)</f>
        <v>1248</v>
      </c>
      <c r="G130" s="82"/>
      <c r="H130" s="84">
        <v>0</v>
      </c>
      <c r="I130" s="92"/>
      <c r="J130" s="92">
        <v>0</v>
      </c>
      <c r="K130" s="92"/>
      <c r="L130" s="84">
        <f t="shared" si="38"/>
        <v>1248</v>
      </c>
      <c r="M130" s="28"/>
    </row>
    <row r="131" spans="1:13" ht="30" customHeight="1">
      <c r="A131" s="25" t="s">
        <v>49</v>
      </c>
      <c r="B131" s="26"/>
      <c r="C131" s="53"/>
      <c r="D131" s="26"/>
      <c r="E131" s="82"/>
      <c r="F131" s="92">
        <f>SUM(F118:F130)</f>
        <v>344588</v>
      </c>
      <c r="G131" s="82"/>
      <c r="H131" s="92">
        <f>SUM(H118:H130)</f>
        <v>62402</v>
      </c>
      <c r="I131" s="92"/>
      <c r="J131" s="92">
        <f>SUM(J118:J130)</f>
        <v>28787</v>
      </c>
      <c r="K131" s="92"/>
      <c r="L131" s="84">
        <f>SUM(L118:L130)</f>
        <v>435777</v>
      </c>
      <c r="M131" s="28"/>
    </row>
    <row r="132" spans="1:13" ht="30" customHeight="1">
      <c r="A132" s="25"/>
      <c r="B132" s="26"/>
      <c r="C132" s="53"/>
      <c r="D132" s="26"/>
      <c r="E132" s="82"/>
      <c r="F132" s="92"/>
      <c r="G132" s="82"/>
      <c r="H132" s="92"/>
      <c r="I132" s="92"/>
      <c r="J132" s="92"/>
      <c r="K132" s="92"/>
      <c r="L132" s="92"/>
      <c r="M132" s="28"/>
    </row>
    <row r="133" spans="1:13" ht="30" customHeight="1">
      <c r="A133" s="25"/>
      <c r="B133" s="26"/>
      <c r="C133" s="53"/>
      <c r="D133" s="26"/>
      <c r="E133" s="82"/>
      <c r="F133" s="92"/>
      <c r="G133" s="82"/>
      <c r="H133" s="92"/>
      <c r="I133" s="92"/>
      <c r="J133" s="92"/>
      <c r="K133" s="92"/>
      <c r="L133" s="92"/>
      <c r="M133" s="28"/>
    </row>
    <row r="134" spans="1:13" ht="30" customHeight="1">
      <c r="A134" s="25"/>
      <c r="B134" s="26"/>
      <c r="C134" s="53"/>
      <c r="D134" s="26"/>
      <c r="E134" s="82"/>
      <c r="F134" s="92"/>
      <c r="G134" s="82"/>
      <c r="H134" s="92"/>
      <c r="I134" s="92"/>
      <c r="J134" s="92"/>
      <c r="K134" s="92"/>
      <c r="L134" s="92"/>
      <c r="M134" s="28"/>
    </row>
    <row r="135" spans="1:13" ht="30" customHeight="1" thickBot="1">
      <c r="A135" s="29"/>
      <c r="B135" s="30"/>
      <c r="C135" s="51"/>
      <c r="D135" s="30"/>
      <c r="E135" s="93"/>
      <c r="F135" s="93"/>
      <c r="G135" s="93"/>
      <c r="H135" s="93"/>
      <c r="I135" s="93"/>
      <c r="J135" s="93"/>
      <c r="K135" s="93"/>
      <c r="L135" s="93"/>
      <c r="M135" s="32"/>
    </row>
    <row r="136" spans="1:13" ht="30" customHeight="1">
      <c r="A136" s="17" t="s">
        <v>183</v>
      </c>
      <c r="B136" s="18"/>
      <c r="C136" s="52"/>
      <c r="D136" s="19"/>
      <c r="E136" s="83"/>
      <c r="F136" s="91"/>
      <c r="G136" s="91"/>
      <c r="H136" s="91"/>
      <c r="I136" s="91"/>
      <c r="J136" s="91"/>
      <c r="K136" s="91"/>
      <c r="L136" s="91"/>
      <c r="M136" s="20"/>
    </row>
    <row r="137" spans="1:13" ht="30" customHeight="1">
      <c r="A137" s="21" t="s">
        <v>77</v>
      </c>
      <c r="B137" s="213" t="str">
        <f>B118</f>
        <v>HI - 그린</v>
      </c>
      <c r="C137" s="47">
        <v>330</v>
      </c>
      <c r="D137" s="22" t="s">
        <v>31</v>
      </c>
      <c r="E137" s="84">
        <f>E99</f>
        <v>840</v>
      </c>
      <c r="F137" s="84">
        <f aca="true" t="shared" si="40" ref="F137:F147">INT(E137*C137)</f>
        <v>277200</v>
      </c>
      <c r="G137" s="83"/>
      <c r="H137" s="83">
        <f aca="true" t="shared" si="41" ref="H137:H147">INT(G137*C137)</f>
        <v>0</v>
      </c>
      <c r="I137" s="83"/>
      <c r="J137" s="83">
        <f aca="true" t="shared" si="42" ref="J137:J147">INT(I137*C137)</f>
        <v>0</v>
      </c>
      <c r="K137" s="84">
        <f aca="true" t="shared" si="43" ref="K137:K147">E137+G137+I137</f>
        <v>840</v>
      </c>
      <c r="L137" s="84">
        <f aca="true" t="shared" si="44" ref="L137:L149">+J137+H137+F137</f>
        <v>277200</v>
      </c>
      <c r="M137" s="61"/>
    </row>
    <row r="138" spans="1:13" ht="30" customHeight="1">
      <c r="A138" s="21" t="s">
        <v>78</v>
      </c>
      <c r="B138" s="45" t="s">
        <v>46</v>
      </c>
      <c r="C138" s="47">
        <v>60</v>
      </c>
      <c r="D138" s="22" t="s">
        <v>32</v>
      </c>
      <c r="E138" s="84">
        <f>E100</f>
        <v>40</v>
      </c>
      <c r="F138" s="84">
        <f t="shared" si="40"/>
        <v>2400</v>
      </c>
      <c r="G138" s="83"/>
      <c r="H138" s="83">
        <f t="shared" si="41"/>
        <v>0</v>
      </c>
      <c r="I138" s="83"/>
      <c r="J138" s="83">
        <f t="shared" si="42"/>
        <v>0</v>
      </c>
      <c r="K138" s="84">
        <f t="shared" si="43"/>
        <v>40</v>
      </c>
      <c r="L138" s="84">
        <f t="shared" si="44"/>
        <v>2400</v>
      </c>
      <c r="M138" s="61"/>
    </row>
    <row r="139" spans="1:13" ht="30" customHeight="1">
      <c r="A139" s="21" t="s">
        <v>202</v>
      </c>
      <c r="B139" s="45" t="str">
        <f>B120</f>
        <v>표준형</v>
      </c>
      <c r="C139" s="47">
        <v>0.2</v>
      </c>
      <c r="D139" s="22" t="s">
        <v>33</v>
      </c>
      <c r="E139" s="84">
        <f>E101</f>
        <v>170000</v>
      </c>
      <c r="F139" s="84">
        <f t="shared" si="40"/>
        <v>34000</v>
      </c>
      <c r="G139" s="83"/>
      <c r="H139" s="83">
        <f t="shared" si="41"/>
        <v>0</v>
      </c>
      <c r="I139" s="83"/>
      <c r="J139" s="83">
        <f t="shared" si="42"/>
        <v>0</v>
      </c>
      <c r="K139" s="84">
        <f t="shared" si="43"/>
        <v>170000</v>
      </c>
      <c r="L139" s="84">
        <f t="shared" si="44"/>
        <v>34000</v>
      </c>
      <c r="M139" s="62"/>
    </row>
    <row r="140" spans="1:13" ht="30" customHeight="1">
      <c r="A140" s="21" t="s">
        <v>15</v>
      </c>
      <c r="B140" s="22"/>
      <c r="C140" s="71">
        <v>0.046</v>
      </c>
      <c r="D140" s="22" t="s">
        <v>16</v>
      </c>
      <c r="E140" s="83"/>
      <c r="F140" s="83">
        <f t="shared" si="40"/>
        <v>0</v>
      </c>
      <c r="G140" s="46">
        <f aca="true" t="shared" si="45" ref="G140:G146">G102</f>
        <v>105826</v>
      </c>
      <c r="H140" s="84">
        <f t="shared" si="41"/>
        <v>4867</v>
      </c>
      <c r="I140" s="83"/>
      <c r="J140" s="83">
        <f t="shared" si="42"/>
        <v>0</v>
      </c>
      <c r="K140" s="84">
        <f t="shared" si="43"/>
        <v>105826</v>
      </c>
      <c r="L140" s="84">
        <f t="shared" si="44"/>
        <v>4867</v>
      </c>
      <c r="M140" s="43"/>
    </row>
    <row r="141" spans="1:13" ht="30" customHeight="1">
      <c r="A141" s="21" t="s">
        <v>17</v>
      </c>
      <c r="B141" s="22"/>
      <c r="C141" s="71">
        <v>0.091</v>
      </c>
      <c r="D141" s="22" t="s">
        <v>16</v>
      </c>
      <c r="E141" s="83"/>
      <c r="F141" s="83">
        <f t="shared" si="40"/>
        <v>0</v>
      </c>
      <c r="G141" s="46">
        <f t="shared" si="45"/>
        <v>102334</v>
      </c>
      <c r="H141" s="84">
        <f t="shared" si="41"/>
        <v>9312</v>
      </c>
      <c r="I141" s="83"/>
      <c r="J141" s="83">
        <f t="shared" si="42"/>
        <v>0</v>
      </c>
      <c r="K141" s="84">
        <f t="shared" si="43"/>
        <v>102334</v>
      </c>
      <c r="L141" s="84">
        <f t="shared" si="44"/>
        <v>9312</v>
      </c>
      <c r="M141" s="24"/>
    </row>
    <row r="142" spans="1:13" ht="30" customHeight="1">
      <c r="A142" s="21" t="s">
        <v>18</v>
      </c>
      <c r="B142" s="22"/>
      <c r="C142" s="71">
        <v>0.223</v>
      </c>
      <c r="D142" s="22" t="s">
        <v>16</v>
      </c>
      <c r="E142" s="83"/>
      <c r="F142" s="83">
        <f t="shared" si="40"/>
        <v>0</v>
      </c>
      <c r="G142" s="46">
        <f t="shared" si="45"/>
        <v>84166</v>
      </c>
      <c r="H142" s="84">
        <f t="shared" si="41"/>
        <v>18769</v>
      </c>
      <c r="I142" s="83"/>
      <c r="J142" s="83">
        <f t="shared" si="42"/>
        <v>0</v>
      </c>
      <c r="K142" s="84">
        <f t="shared" si="43"/>
        <v>84166</v>
      </c>
      <c r="L142" s="84">
        <f t="shared" si="44"/>
        <v>18769</v>
      </c>
      <c r="M142" s="24"/>
    </row>
    <row r="143" spans="1:13" ht="30" customHeight="1">
      <c r="A143" s="21" t="s">
        <v>34</v>
      </c>
      <c r="B143" s="22" t="s">
        <v>47</v>
      </c>
      <c r="C143" s="71">
        <v>0.277</v>
      </c>
      <c r="D143" s="22" t="s">
        <v>30</v>
      </c>
      <c r="E143" s="84">
        <f>E105</f>
        <v>11166</v>
      </c>
      <c r="F143" s="84">
        <f t="shared" si="40"/>
        <v>3092</v>
      </c>
      <c r="G143" s="84">
        <f t="shared" si="45"/>
        <v>18695</v>
      </c>
      <c r="H143" s="84">
        <f t="shared" si="41"/>
        <v>5178</v>
      </c>
      <c r="I143" s="84">
        <f>I105</f>
        <v>71731</v>
      </c>
      <c r="J143" s="84">
        <f t="shared" si="42"/>
        <v>19869</v>
      </c>
      <c r="K143" s="84">
        <f t="shared" si="43"/>
        <v>101592</v>
      </c>
      <c r="L143" s="84">
        <f t="shared" si="44"/>
        <v>28139</v>
      </c>
      <c r="M143" s="24"/>
    </row>
    <row r="144" spans="1:13" ht="30" customHeight="1">
      <c r="A144" s="21" t="s">
        <v>35</v>
      </c>
      <c r="B144" s="22" t="s">
        <v>36</v>
      </c>
      <c r="C144" s="71">
        <v>0.277</v>
      </c>
      <c r="D144" s="22" t="s">
        <v>30</v>
      </c>
      <c r="E144" s="84">
        <f>E106</f>
        <v>8898</v>
      </c>
      <c r="F144" s="84">
        <f t="shared" si="40"/>
        <v>2464</v>
      </c>
      <c r="G144" s="84">
        <f t="shared" si="45"/>
        <v>21911</v>
      </c>
      <c r="H144" s="84">
        <f t="shared" si="41"/>
        <v>6069</v>
      </c>
      <c r="I144" s="84">
        <f>I106</f>
        <v>10362</v>
      </c>
      <c r="J144" s="84">
        <f t="shared" si="42"/>
        <v>2870</v>
      </c>
      <c r="K144" s="84">
        <f t="shared" si="43"/>
        <v>41171</v>
      </c>
      <c r="L144" s="84">
        <f t="shared" si="44"/>
        <v>11403</v>
      </c>
      <c r="M144" s="24"/>
    </row>
    <row r="145" spans="1:13" ht="30" customHeight="1">
      <c r="A145" s="21" t="s">
        <v>45</v>
      </c>
      <c r="B145" s="22" t="s">
        <v>37</v>
      </c>
      <c r="C145" s="71">
        <v>0.277</v>
      </c>
      <c r="D145" s="22" t="s">
        <v>30</v>
      </c>
      <c r="E145" s="84">
        <f>E107</f>
        <v>16052</v>
      </c>
      <c r="F145" s="84">
        <f t="shared" si="40"/>
        <v>4446</v>
      </c>
      <c r="G145" s="84">
        <f t="shared" si="45"/>
        <v>21911</v>
      </c>
      <c r="H145" s="84">
        <f t="shared" si="41"/>
        <v>6069</v>
      </c>
      <c r="I145" s="84">
        <f>I107</f>
        <v>6117</v>
      </c>
      <c r="J145" s="84">
        <f t="shared" si="42"/>
        <v>1694</v>
      </c>
      <c r="K145" s="84">
        <f t="shared" si="43"/>
        <v>44080</v>
      </c>
      <c r="L145" s="84">
        <f t="shared" si="44"/>
        <v>12209</v>
      </c>
      <c r="M145" s="24"/>
    </row>
    <row r="146" spans="1:13" ht="30" customHeight="1">
      <c r="A146" s="21" t="s">
        <v>38</v>
      </c>
      <c r="B146" s="22" t="s">
        <v>39</v>
      </c>
      <c r="C146" s="71">
        <v>0.554</v>
      </c>
      <c r="D146" s="22" t="s">
        <v>30</v>
      </c>
      <c r="E146" s="84">
        <f>E108</f>
        <v>17578</v>
      </c>
      <c r="F146" s="84">
        <f t="shared" si="40"/>
        <v>9738</v>
      </c>
      <c r="G146" s="84">
        <f t="shared" si="45"/>
        <v>21911</v>
      </c>
      <c r="H146" s="84">
        <f t="shared" si="41"/>
        <v>12138</v>
      </c>
      <c r="I146" s="84">
        <f>I108</f>
        <v>7823</v>
      </c>
      <c r="J146" s="84">
        <f t="shared" si="42"/>
        <v>4333</v>
      </c>
      <c r="K146" s="84">
        <f t="shared" si="43"/>
        <v>47312</v>
      </c>
      <c r="L146" s="84">
        <f t="shared" si="44"/>
        <v>26209</v>
      </c>
      <c r="M146" s="24"/>
    </row>
    <row r="147" spans="1:13" ht="30" customHeight="1">
      <c r="A147" s="21" t="s">
        <v>40</v>
      </c>
      <c r="B147" s="22" t="s">
        <v>41</v>
      </c>
      <c r="C147" s="71">
        <v>0.277</v>
      </c>
      <c r="D147" s="22" t="s">
        <v>30</v>
      </c>
      <c r="E147" s="83"/>
      <c r="F147" s="83">
        <f t="shared" si="40"/>
        <v>0</v>
      </c>
      <c r="G147" s="83"/>
      <c r="H147" s="83">
        <f t="shared" si="41"/>
        <v>0</v>
      </c>
      <c r="I147" s="84">
        <f>I109</f>
        <v>77</v>
      </c>
      <c r="J147" s="84">
        <f t="shared" si="42"/>
        <v>21</v>
      </c>
      <c r="K147" s="84">
        <f t="shared" si="43"/>
        <v>77</v>
      </c>
      <c r="L147" s="84">
        <f t="shared" si="44"/>
        <v>21</v>
      </c>
      <c r="M147" s="85"/>
    </row>
    <row r="148" spans="1:13" ht="30" customHeight="1">
      <c r="A148" s="25" t="s">
        <v>19</v>
      </c>
      <c r="B148" s="26" t="s">
        <v>20</v>
      </c>
      <c r="C148" s="53">
        <v>1</v>
      </c>
      <c r="D148" s="26" t="s">
        <v>21</v>
      </c>
      <c r="E148" s="82"/>
      <c r="F148" s="84">
        <f>INT(SUM(F137:F147)*0.03)</f>
        <v>10000</v>
      </c>
      <c r="G148" s="82"/>
      <c r="H148" s="82">
        <v>0</v>
      </c>
      <c r="I148" s="92"/>
      <c r="J148" s="92">
        <v>0</v>
      </c>
      <c r="K148" s="92"/>
      <c r="L148" s="84">
        <f t="shared" si="44"/>
        <v>10000</v>
      </c>
      <c r="M148" s="28"/>
    </row>
    <row r="149" spans="1:13" ht="30" customHeight="1">
      <c r="A149" s="25" t="s">
        <v>42</v>
      </c>
      <c r="B149" s="26" t="s">
        <v>43</v>
      </c>
      <c r="C149" s="53">
        <v>1</v>
      </c>
      <c r="D149" s="26" t="s">
        <v>21</v>
      </c>
      <c r="E149" s="82"/>
      <c r="F149" s="82">
        <f>INT(SUM(H140:H147)*0.02)</f>
        <v>1248</v>
      </c>
      <c r="G149" s="82"/>
      <c r="H149" s="84">
        <v>0</v>
      </c>
      <c r="I149" s="92"/>
      <c r="J149" s="92">
        <v>0</v>
      </c>
      <c r="K149" s="92"/>
      <c r="L149" s="84">
        <f t="shared" si="44"/>
        <v>1248</v>
      </c>
      <c r="M149" s="28"/>
    </row>
    <row r="150" spans="1:13" ht="30" customHeight="1">
      <c r="A150" s="11" t="s">
        <v>65</v>
      </c>
      <c r="B150" s="74" t="s">
        <v>60</v>
      </c>
      <c r="C150" s="53">
        <v>1</v>
      </c>
      <c r="D150" s="26" t="s">
        <v>58</v>
      </c>
      <c r="E150" s="82"/>
      <c r="F150" s="82">
        <f>'참고자료-안정화재'!F29</f>
        <v>13390</v>
      </c>
      <c r="G150" s="82"/>
      <c r="H150" s="82">
        <f>'참고자료-안정화재'!H29</f>
        <v>41577</v>
      </c>
      <c r="I150" s="82"/>
      <c r="J150" s="82">
        <f>'참고자료-안정화재'!J29</f>
        <v>0</v>
      </c>
      <c r="K150" s="82"/>
      <c r="L150" s="84">
        <f>+J150+H150+F150</f>
        <v>54967</v>
      </c>
      <c r="M150" s="146" t="s">
        <v>131</v>
      </c>
    </row>
    <row r="151" spans="1:13" ht="30" customHeight="1">
      <c r="A151" s="25" t="s">
        <v>49</v>
      </c>
      <c r="B151" s="26"/>
      <c r="C151" s="53"/>
      <c r="D151" s="26"/>
      <c r="E151" s="82"/>
      <c r="F151" s="92">
        <f>SUM(F137:F150)</f>
        <v>357978</v>
      </c>
      <c r="G151" s="82"/>
      <c r="H151" s="92">
        <f>SUM(H137:H150)</f>
        <v>103979</v>
      </c>
      <c r="I151" s="92"/>
      <c r="J151" s="92">
        <f>SUM(J137:J150)</f>
        <v>28787</v>
      </c>
      <c r="K151" s="92"/>
      <c r="L151" s="92">
        <f>SUM(L137:L150)</f>
        <v>490744</v>
      </c>
      <c r="M151" s="28"/>
    </row>
    <row r="152" spans="1:13" ht="30" customHeight="1">
      <c r="A152" s="25"/>
      <c r="B152" s="26"/>
      <c r="C152" s="53"/>
      <c r="D152" s="26"/>
      <c r="E152" s="82"/>
      <c r="F152" s="92"/>
      <c r="G152" s="82"/>
      <c r="H152" s="92"/>
      <c r="I152" s="92"/>
      <c r="J152" s="92"/>
      <c r="K152" s="92"/>
      <c r="L152" s="92"/>
      <c r="M152" s="28"/>
    </row>
    <row r="153" spans="1:13" ht="30" customHeight="1">
      <c r="A153" s="25"/>
      <c r="B153" s="26"/>
      <c r="C153" s="53"/>
      <c r="D153" s="26"/>
      <c r="E153" s="82"/>
      <c r="F153" s="92"/>
      <c r="G153" s="82"/>
      <c r="H153" s="92"/>
      <c r="I153" s="92"/>
      <c r="J153" s="92"/>
      <c r="K153" s="92"/>
      <c r="L153" s="92"/>
      <c r="M153" s="28"/>
    </row>
    <row r="154" spans="1:13" ht="30" customHeight="1" thickBot="1">
      <c r="A154" s="29"/>
      <c r="B154" s="30"/>
      <c r="C154" s="51"/>
      <c r="D154" s="30"/>
      <c r="E154" s="93"/>
      <c r="F154" s="93"/>
      <c r="G154" s="93"/>
      <c r="H154" s="93"/>
      <c r="I154" s="93"/>
      <c r="J154" s="93"/>
      <c r="K154" s="93"/>
      <c r="L154" s="93"/>
      <c r="M154" s="32"/>
    </row>
    <row r="155" spans="1:13" ht="30" customHeight="1">
      <c r="A155" s="17" t="s">
        <v>152</v>
      </c>
      <c r="B155" s="18"/>
      <c r="C155" s="52"/>
      <c r="D155" s="19"/>
      <c r="E155" s="83"/>
      <c r="F155" s="91"/>
      <c r="G155" s="91"/>
      <c r="H155" s="91"/>
      <c r="I155" s="91"/>
      <c r="J155" s="91"/>
      <c r="K155" s="91"/>
      <c r="L155" s="91"/>
      <c r="M155" s="20"/>
    </row>
    <row r="156" spans="1:13" ht="30" customHeight="1">
      <c r="A156" s="21" t="s">
        <v>77</v>
      </c>
      <c r="B156" s="213" t="str">
        <f>B137</f>
        <v>HI - 그린</v>
      </c>
      <c r="C156" s="47">
        <v>330</v>
      </c>
      <c r="D156" s="22" t="s">
        <v>31</v>
      </c>
      <c r="E156" s="84">
        <f>E137</f>
        <v>840</v>
      </c>
      <c r="F156" s="84">
        <f aca="true" t="shared" si="46" ref="F156:F166">INT(E156*C156)</f>
        <v>277200</v>
      </c>
      <c r="G156" s="83"/>
      <c r="H156" s="83">
        <f aca="true" t="shared" si="47" ref="H156:H166">INT(G156*C156)</f>
        <v>0</v>
      </c>
      <c r="I156" s="83"/>
      <c r="J156" s="83">
        <f aca="true" t="shared" si="48" ref="J156:J166">INT(I156*C156)</f>
        <v>0</v>
      </c>
      <c r="K156" s="84">
        <f aca="true" t="shared" si="49" ref="K156:K166">E156+G156+I156</f>
        <v>840</v>
      </c>
      <c r="L156" s="84">
        <f aca="true" t="shared" si="50" ref="L156:L168">+J156+H156+F156</f>
        <v>277200</v>
      </c>
      <c r="M156" s="61"/>
    </row>
    <row r="157" spans="1:13" ht="30" customHeight="1">
      <c r="A157" s="21" t="s">
        <v>78</v>
      </c>
      <c r="B157" s="45" t="s">
        <v>46</v>
      </c>
      <c r="C157" s="47">
        <v>60</v>
      </c>
      <c r="D157" s="22" t="s">
        <v>32</v>
      </c>
      <c r="E157" s="84">
        <f>E138</f>
        <v>40</v>
      </c>
      <c r="F157" s="84">
        <f t="shared" si="46"/>
        <v>2400</v>
      </c>
      <c r="G157" s="83"/>
      <c r="H157" s="83">
        <f t="shared" si="47"/>
        <v>0</v>
      </c>
      <c r="I157" s="83"/>
      <c r="J157" s="83">
        <f t="shared" si="48"/>
        <v>0</v>
      </c>
      <c r="K157" s="84">
        <f t="shared" si="49"/>
        <v>40</v>
      </c>
      <c r="L157" s="84">
        <f t="shared" si="50"/>
        <v>2400</v>
      </c>
      <c r="M157" s="61"/>
    </row>
    <row r="158" spans="1:13" ht="30" customHeight="1">
      <c r="A158" s="21" t="s">
        <v>202</v>
      </c>
      <c r="B158" s="45" t="str">
        <f>B139</f>
        <v>표준형</v>
      </c>
      <c r="C158" s="47">
        <v>0.2</v>
      </c>
      <c r="D158" s="22" t="s">
        <v>33</v>
      </c>
      <c r="E158" s="84">
        <f>E139</f>
        <v>170000</v>
      </c>
      <c r="F158" s="84">
        <f t="shared" si="46"/>
        <v>34000</v>
      </c>
      <c r="G158" s="83"/>
      <c r="H158" s="83">
        <f t="shared" si="47"/>
        <v>0</v>
      </c>
      <c r="I158" s="83"/>
      <c r="J158" s="83">
        <f t="shared" si="48"/>
        <v>0</v>
      </c>
      <c r="K158" s="84">
        <f t="shared" si="49"/>
        <v>170000</v>
      </c>
      <c r="L158" s="84">
        <f t="shared" si="50"/>
        <v>34000</v>
      </c>
      <c r="M158" s="62"/>
    </row>
    <row r="159" spans="1:13" ht="30" customHeight="1">
      <c r="A159" s="21" t="s">
        <v>15</v>
      </c>
      <c r="B159" s="22"/>
      <c r="C159" s="71">
        <v>0.046</v>
      </c>
      <c r="D159" s="22" t="s">
        <v>16</v>
      </c>
      <c r="E159" s="83"/>
      <c r="F159" s="83">
        <f t="shared" si="46"/>
        <v>0</v>
      </c>
      <c r="G159" s="46">
        <f aca="true" t="shared" si="51" ref="G159:G165">G140</f>
        <v>105826</v>
      </c>
      <c r="H159" s="84">
        <f t="shared" si="47"/>
        <v>4867</v>
      </c>
      <c r="I159" s="83"/>
      <c r="J159" s="83">
        <f t="shared" si="48"/>
        <v>0</v>
      </c>
      <c r="K159" s="84">
        <f t="shared" si="49"/>
        <v>105826</v>
      </c>
      <c r="L159" s="84">
        <f t="shared" si="50"/>
        <v>4867</v>
      </c>
      <c r="M159" s="43"/>
    </row>
    <row r="160" spans="1:13" ht="30" customHeight="1">
      <c r="A160" s="21" t="s">
        <v>17</v>
      </c>
      <c r="B160" s="22"/>
      <c r="C160" s="71">
        <v>0.091</v>
      </c>
      <c r="D160" s="22" t="s">
        <v>16</v>
      </c>
      <c r="E160" s="83"/>
      <c r="F160" s="83">
        <f t="shared" si="46"/>
        <v>0</v>
      </c>
      <c r="G160" s="46">
        <f t="shared" si="51"/>
        <v>102334</v>
      </c>
      <c r="H160" s="84">
        <f t="shared" si="47"/>
        <v>9312</v>
      </c>
      <c r="I160" s="83"/>
      <c r="J160" s="83">
        <f t="shared" si="48"/>
        <v>0</v>
      </c>
      <c r="K160" s="84">
        <f t="shared" si="49"/>
        <v>102334</v>
      </c>
      <c r="L160" s="84">
        <f t="shared" si="50"/>
        <v>9312</v>
      </c>
      <c r="M160" s="24"/>
    </row>
    <row r="161" spans="1:13" ht="30" customHeight="1">
      <c r="A161" s="21" t="s">
        <v>18</v>
      </c>
      <c r="B161" s="22"/>
      <c r="C161" s="71">
        <v>0.223</v>
      </c>
      <c r="D161" s="22" t="s">
        <v>16</v>
      </c>
      <c r="E161" s="83"/>
      <c r="F161" s="83">
        <f t="shared" si="46"/>
        <v>0</v>
      </c>
      <c r="G161" s="46">
        <f t="shared" si="51"/>
        <v>84166</v>
      </c>
      <c r="H161" s="84">
        <f t="shared" si="47"/>
        <v>18769</v>
      </c>
      <c r="I161" s="83"/>
      <c r="J161" s="83">
        <f t="shared" si="48"/>
        <v>0</v>
      </c>
      <c r="K161" s="84">
        <f t="shared" si="49"/>
        <v>84166</v>
      </c>
      <c r="L161" s="84">
        <f t="shared" si="50"/>
        <v>18769</v>
      </c>
      <c r="M161" s="24"/>
    </row>
    <row r="162" spans="1:13" ht="30" customHeight="1">
      <c r="A162" s="21" t="s">
        <v>34</v>
      </c>
      <c r="B162" s="22" t="s">
        <v>47</v>
      </c>
      <c r="C162" s="71">
        <v>0.277</v>
      </c>
      <c r="D162" s="22" t="s">
        <v>30</v>
      </c>
      <c r="E162" s="84">
        <f>E143</f>
        <v>11166</v>
      </c>
      <c r="F162" s="84">
        <f t="shared" si="46"/>
        <v>3092</v>
      </c>
      <c r="G162" s="84">
        <f t="shared" si="51"/>
        <v>18695</v>
      </c>
      <c r="H162" s="84">
        <f t="shared" si="47"/>
        <v>5178</v>
      </c>
      <c r="I162" s="84">
        <f>I143</f>
        <v>71731</v>
      </c>
      <c r="J162" s="84">
        <f t="shared" si="48"/>
        <v>19869</v>
      </c>
      <c r="K162" s="84">
        <f t="shared" si="49"/>
        <v>101592</v>
      </c>
      <c r="L162" s="84">
        <f t="shared" si="50"/>
        <v>28139</v>
      </c>
      <c r="M162" s="24"/>
    </row>
    <row r="163" spans="1:13" ht="30" customHeight="1">
      <c r="A163" s="21" t="s">
        <v>35</v>
      </c>
      <c r="B163" s="22" t="s">
        <v>36</v>
      </c>
      <c r="C163" s="71">
        <v>0.277</v>
      </c>
      <c r="D163" s="22" t="s">
        <v>30</v>
      </c>
      <c r="E163" s="84">
        <f>E144</f>
        <v>8898</v>
      </c>
      <c r="F163" s="84">
        <f t="shared" si="46"/>
        <v>2464</v>
      </c>
      <c r="G163" s="84">
        <f t="shared" si="51"/>
        <v>21911</v>
      </c>
      <c r="H163" s="84">
        <f t="shared" si="47"/>
        <v>6069</v>
      </c>
      <c r="I163" s="84">
        <f>I144</f>
        <v>10362</v>
      </c>
      <c r="J163" s="84">
        <f t="shared" si="48"/>
        <v>2870</v>
      </c>
      <c r="K163" s="84">
        <f t="shared" si="49"/>
        <v>41171</v>
      </c>
      <c r="L163" s="84">
        <f t="shared" si="50"/>
        <v>11403</v>
      </c>
      <c r="M163" s="24"/>
    </row>
    <row r="164" spans="1:13" ht="30" customHeight="1">
      <c r="A164" s="21" t="s">
        <v>45</v>
      </c>
      <c r="B164" s="22" t="s">
        <v>37</v>
      </c>
      <c r="C164" s="71">
        <v>0.277</v>
      </c>
      <c r="D164" s="22" t="s">
        <v>30</v>
      </c>
      <c r="E164" s="84">
        <f>E145</f>
        <v>16052</v>
      </c>
      <c r="F164" s="84">
        <f t="shared" si="46"/>
        <v>4446</v>
      </c>
      <c r="G164" s="84">
        <f t="shared" si="51"/>
        <v>21911</v>
      </c>
      <c r="H164" s="84">
        <f t="shared" si="47"/>
        <v>6069</v>
      </c>
      <c r="I164" s="84">
        <f>I145</f>
        <v>6117</v>
      </c>
      <c r="J164" s="84">
        <f t="shared" si="48"/>
        <v>1694</v>
      </c>
      <c r="K164" s="84">
        <f t="shared" si="49"/>
        <v>44080</v>
      </c>
      <c r="L164" s="84">
        <f t="shared" si="50"/>
        <v>12209</v>
      </c>
      <c r="M164" s="24"/>
    </row>
    <row r="165" spans="1:13" ht="30" customHeight="1">
      <c r="A165" s="21" t="s">
        <v>38</v>
      </c>
      <c r="B165" s="22" t="s">
        <v>39</v>
      </c>
      <c r="C165" s="71">
        <v>0.554</v>
      </c>
      <c r="D165" s="22" t="s">
        <v>30</v>
      </c>
      <c r="E165" s="84">
        <f>E146</f>
        <v>17578</v>
      </c>
      <c r="F165" s="84">
        <f t="shared" si="46"/>
        <v>9738</v>
      </c>
      <c r="G165" s="84">
        <f t="shared" si="51"/>
        <v>21911</v>
      </c>
      <c r="H165" s="84">
        <f t="shared" si="47"/>
        <v>12138</v>
      </c>
      <c r="I165" s="84">
        <f>I146</f>
        <v>7823</v>
      </c>
      <c r="J165" s="84">
        <f t="shared" si="48"/>
        <v>4333</v>
      </c>
      <c r="K165" s="84">
        <f t="shared" si="49"/>
        <v>47312</v>
      </c>
      <c r="L165" s="84">
        <f t="shared" si="50"/>
        <v>26209</v>
      </c>
      <c r="M165" s="24"/>
    </row>
    <row r="166" spans="1:13" ht="30" customHeight="1">
      <c r="A166" s="21" t="s">
        <v>40</v>
      </c>
      <c r="B166" s="22" t="s">
        <v>41</v>
      </c>
      <c r="C166" s="71">
        <v>0.277</v>
      </c>
      <c r="D166" s="22" t="s">
        <v>30</v>
      </c>
      <c r="E166" s="83"/>
      <c r="F166" s="83">
        <f t="shared" si="46"/>
        <v>0</v>
      </c>
      <c r="G166" s="83"/>
      <c r="H166" s="83">
        <f t="shared" si="47"/>
        <v>0</v>
      </c>
      <c r="I166" s="84">
        <f>I147</f>
        <v>77</v>
      </c>
      <c r="J166" s="84">
        <f t="shared" si="48"/>
        <v>21</v>
      </c>
      <c r="K166" s="84">
        <f t="shared" si="49"/>
        <v>77</v>
      </c>
      <c r="L166" s="84">
        <f t="shared" si="50"/>
        <v>21</v>
      </c>
      <c r="M166" s="85"/>
    </row>
    <row r="167" spans="1:13" ht="30" customHeight="1">
      <c r="A167" s="25" t="s">
        <v>19</v>
      </c>
      <c r="B167" s="26" t="s">
        <v>20</v>
      </c>
      <c r="C167" s="53">
        <v>1</v>
      </c>
      <c r="D167" s="26" t="s">
        <v>21</v>
      </c>
      <c r="E167" s="82"/>
      <c r="F167" s="84">
        <f>INT(SUM(F156:F166)*0.03)</f>
        <v>10000</v>
      </c>
      <c r="G167" s="82"/>
      <c r="H167" s="82"/>
      <c r="I167" s="92"/>
      <c r="J167" s="92"/>
      <c r="K167" s="92"/>
      <c r="L167" s="84">
        <f t="shared" si="50"/>
        <v>10000</v>
      </c>
      <c r="M167" s="28"/>
    </row>
    <row r="168" spans="1:13" ht="30" customHeight="1">
      <c r="A168" s="25" t="s">
        <v>42</v>
      </c>
      <c r="B168" s="26" t="s">
        <v>43</v>
      </c>
      <c r="C168" s="53">
        <v>1</v>
      </c>
      <c r="D168" s="26" t="s">
        <v>21</v>
      </c>
      <c r="E168" s="82"/>
      <c r="F168" s="82">
        <f>INT(SUM(H156:H166)*0.02)</f>
        <v>1248</v>
      </c>
      <c r="G168" s="82"/>
      <c r="H168" s="84"/>
      <c r="I168" s="92"/>
      <c r="J168" s="92"/>
      <c r="K168" s="92"/>
      <c r="L168" s="84">
        <f t="shared" si="50"/>
        <v>1248</v>
      </c>
      <c r="M168" s="28"/>
    </row>
    <row r="169" spans="1:13" ht="30" customHeight="1">
      <c r="A169" s="311" t="s">
        <v>76</v>
      </c>
      <c r="B169" s="74" t="s">
        <v>23</v>
      </c>
      <c r="C169" s="53">
        <v>1</v>
      </c>
      <c r="D169" s="26" t="s">
        <v>58</v>
      </c>
      <c r="E169" s="82"/>
      <c r="F169" s="82">
        <f>'참고자료-안정화재'!F51</f>
        <v>50344</v>
      </c>
      <c r="G169" s="82"/>
      <c r="H169" s="82">
        <f>'참고자료-안정화재'!H51</f>
        <v>79045</v>
      </c>
      <c r="I169" s="82"/>
      <c r="J169" s="82">
        <f>'참고자료-안정화재'!J51</f>
        <v>712</v>
      </c>
      <c r="K169" s="82"/>
      <c r="L169" s="84">
        <f>+J169+H169+F169</f>
        <v>130101</v>
      </c>
      <c r="M169" s="146" t="s">
        <v>131</v>
      </c>
    </row>
    <row r="170" spans="1:13" ht="30" customHeight="1">
      <c r="A170" s="25" t="s">
        <v>49</v>
      </c>
      <c r="B170" s="26"/>
      <c r="C170" s="53"/>
      <c r="D170" s="26"/>
      <c r="E170" s="82"/>
      <c r="F170" s="92">
        <f>SUM(F156:F169)</f>
        <v>394932</v>
      </c>
      <c r="G170" s="123"/>
      <c r="H170" s="92">
        <f>SUM(H156:H169)</f>
        <v>141447</v>
      </c>
      <c r="I170" s="123"/>
      <c r="J170" s="92">
        <f>SUM(J156:J169)</f>
        <v>29499</v>
      </c>
      <c r="K170" s="123"/>
      <c r="L170" s="92">
        <f>SUM(L156:L169)</f>
        <v>565878</v>
      </c>
      <c r="M170" s="28"/>
    </row>
    <row r="171" spans="1:13" ht="30" customHeight="1">
      <c r="A171" s="25"/>
      <c r="B171" s="26"/>
      <c r="C171" s="53"/>
      <c r="D171" s="26"/>
      <c r="E171" s="82"/>
      <c r="F171" s="92"/>
      <c r="G171" s="123"/>
      <c r="H171" s="92"/>
      <c r="I171" s="123"/>
      <c r="J171" s="92"/>
      <c r="K171" s="123"/>
      <c r="L171" s="92"/>
      <c r="M171" s="28"/>
    </row>
    <row r="172" spans="1:13" ht="30" customHeight="1">
      <c r="A172" s="25"/>
      <c r="B172" s="26"/>
      <c r="C172" s="53"/>
      <c r="D172" s="26"/>
      <c r="E172" s="82"/>
      <c r="F172" s="92"/>
      <c r="G172" s="123"/>
      <c r="H172" s="92"/>
      <c r="I172" s="123"/>
      <c r="J172" s="92"/>
      <c r="K172" s="123"/>
      <c r="L172" s="92"/>
      <c r="M172" s="28"/>
    </row>
    <row r="173" spans="1:13" ht="30" customHeight="1" thickBot="1">
      <c r="A173" s="29"/>
      <c r="B173" s="30"/>
      <c r="C173" s="51"/>
      <c r="D173" s="30"/>
      <c r="E173" s="93"/>
      <c r="F173" s="210"/>
      <c r="G173" s="211"/>
      <c r="H173" s="210"/>
      <c r="I173" s="211"/>
      <c r="J173" s="210"/>
      <c r="K173" s="211"/>
      <c r="L173" s="210"/>
      <c r="M173" s="32"/>
    </row>
    <row r="174" spans="1:13" ht="30" customHeight="1">
      <c r="A174" s="204" t="s">
        <v>184</v>
      </c>
      <c r="B174" s="205"/>
      <c r="C174" s="206"/>
      <c r="D174" s="207"/>
      <c r="E174" s="208"/>
      <c r="F174" s="208"/>
      <c r="G174" s="208"/>
      <c r="H174" s="208"/>
      <c r="I174" s="208"/>
      <c r="J174" s="208"/>
      <c r="K174" s="208"/>
      <c r="L174" s="208"/>
      <c r="M174" s="209"/>
    </row>
    <row r="175" spans="1:13" ht="30" customHeight="1">
      <c r="A175" s="21" t="s">
        <v>77</v>
      </c>
      <c r="B175" s="213" t="str">
        <f>B156</f>
        <v>HI - 그린</v>
      </c>
      <c r="C175" s="47">
        <v>440</v>
      </c>
      <c r="D175" s="22" t="s">
        <v>31</v>
      </c>
      <c r="E175" s="84">
        <f>E137</f>
        <v>840</v>
      </c>
      <c r="F175" s="84">
        <f aca="true" t="shared" si="52" ref="F175:F185">INT(E175*C175)</f>
        <v>369600</v>
      </c>
      <c r="G175" s="83"/>
      <c r="H175" s="83">
        <f aca="true" t="shared" si="53" ref="H175:H185">INT(G175*C175)</f>
        <v>0</v>
      </c>
      <c r="I175" s="83"/>
      <c r="J175" s="83">
        <f aca="true" t="shared" si="54" ref="J175:J185">INT(I175*C175)</f>
        <v>0</v>
      </c>
      <c r="K175" s="84">
        <f aca="true" t="shared" si="55" ref="K175:K185">E175+G175+I175</f>
        <v>840</v>
      </c>
      <c r="L175" s="84">
        <f aca="true" t="shared" si="56" ref="L175:L187">+J175+H175+F175</f>
        <v>369600</v>
      </c>
      <c r="M175" s="28"/>
    </row>
    <row r="176" spans="1:13" ht="30" customHeight="1">
      <c r="A176" s="21" t="s">
        <v>78</v>
      </c>
      <c r="B176" s="45" t="s">
        <v>46</v>
      </c>
      <c r="C176" s="47">
        <v>80</v>
      </c>
      <c r="D176" s="22" t="s">
        <v>32</v>
      </c>
      <c r="E176" s="84">
        <f>E138</f>
        <v>40</v>
      </c>
      <c r="F176" s="84">
        <f t="shared" si="52"/>
        <v>3200</v>
      </c>
      <c r="G176" s="83"/>
      <c r="H176" s="83">
        <f t="shared" si="53"/>
        <v>0</v>
      </c>
      <c r="I176" s="83"/>
      <c r="J176" s="83">
        <f t="shared" si="54"/>
        <v>0</v>
      </c>
      <c r="K176" s="84">
        <f t="shared" si="55"/>
        <v>40</v>
      </c>
      <c r="L176" s="84">
        <f t="shared" si="56"/>
        <v>3200</v>
      </c>
      <c r="M176" s="28"/>
    </row>
    <row r="177" spans="1:13" ht="30" customHeight="1">
      <c r="A177" s="21" t="s">
        <v>202</v>
      </c>
      <c r="B177" s="45" t="str">
        <f>B158</f>
        <v>표준형</v>
      </c>
      <c r="C177" s="47">
        <v>0.2</v>
      </c>
      <c r="D177" s="22" t="s">
        <v>33</v>
      </c>
      <c r="E177" s="84">
        <f>E139</f>
        <v>170000</v>
      </c>
      <c r="F177" s="84">
        <f t="shared" si="52"/>
        <v>34000</v>
      </c>
      <c r="G177" s="83"/>
      <c r="H177" s="83">
        <f t="shared" si="53"/>
        <v>0</v>
      </c>
      <c r="I177" s="83"/>
      <c r="J177" s="83">
        <f t="shared" si="54"/>
        <v>0</v>
      </c>
      <c r="K177" s="84">
        <f t="shared" si="55"/>
        <v>170000</v>
      </c>
      <c r="L177" s="84">
        <f t="shared" si="56"/>
        <v>34000</v>
      </c>
      <c r="M177" s="28"/>
    </row>
    <row r="178" spans="1:13" ht="30" customHeight="1">
      <c r="A178" s="21" t="s">
        <v>15</v>
      </c>
      <c r="B178" s="22"/>
      <c r="C178" s="71">
        <v>0.061</v>
      </c>
      <c r="D178" s="22" t="s">
        <v>16</v>
      </c>
      <c r="E178" s="83"/>
      <c r="F178" s="83">
        <f t="shared" si="52"/>
        <v>0</v>
      </c>
      <c r="G178" s="46">
        <f aca="true" t="shared" si="57" ref="G178:G184">G140</f>
        <v>105826</v>
      </c>
      <c r="H178" s="84">
        <f t="shared" si="53"/>
        <v>6455</v>
      </c>
      <c r="I178" s="83"/>
      <c r="J178" s="83">
        <f t="shared" si="54"/>
        <v>0</v>
      </c>
      <c r="K178" s="84">
        <f t="shared" si="55"/>
        <v>105826</v>
      </c>
      <c r="L178" s="84">
        <f t="shared" si="56"/>
        <v>6455</v>
      </c>
      <c r="M178" s="28"/>
    </row>
    <row r="179" spans="1:13" ht="30" customHeight="1">
      <c r="A179" s="21" t="s">
        <v>17</v>
      </c>
      <c r="B179" s="22"/>
      <c r="C179" s="71">
        <v>0.121</v>
      </c>
      <c r="D179" s="22" t="s">
        <v>16</v>
      </c>
      <c r="E179" s="83"/>
      <c r="F179" s="83">
        <f t="shared" si="52"/>
        <v>0</v>
      </c>
      <c r="G179" s="46">
        <f t="shared" si="57"/>
        <v>102334</v>
      </c>
      <c r="H179" s="84">
        <f t="shared" si="53"/>
        <v>12382</v>
      </c>
      <c r="I179" s="83"/>
      <c r="J179" s="83">
        <f t="shared" si="54"/>
        <v>0</v>
      </c>
      <c r="K179" s="84">
        <f t="shared" si="55"/>
        <v>102334</v>
      </c>
      <c r="L179" s="84">
        <f t="shared" si="56"/>
        <v>12382</v>
      </c>
      <c r="M179" s="28"/>
    </row>
    <row r="180" spans="1:13" ht="30" customHeight="1">
      <c r="A180" s="21" t="s">
        <v>18</v>
      </c>
      <c r="B180" s="22"/>
      <c r="C180" s="71">
        <v>0.279</v>
      </c>
      <c r="D180" s="22" t="s">
        <v>16</v>
      </c>
      <c r="E180" s="83"/>
      <c r="F180" s="83">
        <f t="shared" si="52"/>
        <v>0</v>
      </c>
      <c r="G180" s="46">
        <f t="shared" si="57"/>
        <v>84166</v>
      </c>
      <c r="H180" s="84">
        <f t="shared" si="53"/>
        <v>23482</v>
      </c>
      <c r="I180" s="83"/>
      <c r="J180" s="83">
        <f t="shared" si="54"/>
        <v>0</v>
      </c>
      <c r="K180" s="84">
        <f t="shared" si="55"/>
        <v>84166</v>
      </c>
      <c r="L180" s="84">
        <f t="shared" si="56"/>
        <v>23482</v>
      </c>
      <c r="M180" s="28"/>
    </row>
    <row r="181" spans="1:13" ht="30" customHeight="1">
      <c r="A181" s="21" t="s">
        <v>34</v>
      </c>
      <c r="B181" s="22" t="s">
        <v>47</v>
      </c>
      <c r="C181" s="71">
        <v>0.369</v>
      </c>
      <c r="D181" s="22" t="s">
        <v>30</v>
      </c>
      <c r="E181" s="84">
        <f>E143</f>
        <v>11166</v>
      </c>
      <c r="F181" s="84">
        <f t="shared" si="52"/>
        <v>4120</v>
      </c>
      <c r="G181" s="84">
        <f t="shared" si="57"/>
        <v>18695</v>
      </c>
      <c r="H181" s="84">
        <f t="shared" si="53"/>
        <v>6898</v>
      </c>
      <c r="I181" s="84">
        <f>I143</f>
        <v>71731</v>
      </c>
      <c r="J181" s="84">
        <f t="shared" si="54"/>
        <v>26468</v>
      </c>
      <c r="K181" s="84">
        <f t="shared" si="55"/>
        <v>101592</v>
      </c>
      <c r="L181" s="84">
        <f t="shared" si="56"/>
        <v>37486</v>
      </c>
      <c r="M181" s="28"/>
    </row>
    <row r="182" spans="1:13" ht="30" customHeight="1">
      <c r="A182" s="21" t="s">
        <v>35</v>
      </c>
      <c r="B182" s="22" t="s">
        <v>36</v>
      </c>
      <c r="C182" s="71">
        <v>0.369</v>
      </c>
      <c r="D182" s="22" t="s">
        <v>129</v>
      </c>
      <c r="E182" s="84">
        <f>E144</f>
        <v>8898</v>
      </c>
      <c r="F182" s="84">
        <f t="shared" si="52"/>
        <v>3283</v>
      </c>
      <c r="G182" s="84">
        <f t="shared" si="57"/>
        <v>21911</v>
      </c>
      <c r="H182" s="84">
        <f t="shared" si="53"/>
        <v>8085</v>
      </c>
      <c r="I182" s="84">
        <f>I144</f>
        <v>10362</v>
      </c>
      <c r="J182" s="84">
        <f t="shared" si="54"/>
        <v>3823</v>
      </c>
      <c r="K182" s="84">
        <f t="shared" si="55"/>
        <v>41171</v>
      </c>
      <c r="L182" s="84">
        <f t="shared" si="56"/>
        <v>15191</v>
      </c>
      <c r="M182" s="28"/>
    </row>
    <row r="183" spans="1:13" ht="30" customHeight="1">
      <c r="A183" s="21" t="s">
        <v>45</v>
      </c>
      <c r="B183" s="22" t="s">
        <v>37</v>
      </c>
      <c r="C183" s="71">
        <v>0.369</v>
      </c>
      <c r="D183" s="22" t="s">
        <v>30</v>
      </c>
      <c r="E183" s="84">
        <f>E145</f>
        <v>16052</v>
      </c>
      <c r="F183" s="84">
        <f t="shared" si="52"/>
        <v>5923</v>
      </c>
      <c r="G183" s="84">
        <f t="shared" si="57"/>
        <v>21911</v>
      </c>
      <c r="H183" s="84">
        <f t="shared" si="53"/>
        <v>8085</v>
      </c>
      <c r="I183" s="84">
        <f>I145</f>
        <v>6117</v>
      </c>
      <c r="J183" s="84">
        <f t="shared" si="54"/>
        <v>2257</v>
      </c>
      <c r="K183" s="84">
        <f t="shared" si="55"/>
        <v>44080</v>
      </c>
      <c r="L183" s="84">
        <f t="shared" si="56"/>
        <v>16265</v>
      </c>
      <c r="M183" s="28"/>
    </row>
    <row r="184" spans="1:13" ht="30" customHeight="1">
      <c r="A184" s="21" t="s">
        <v>38</v>
      </c>
      <c r="B184" s="22" t="s">
        <v>39</v>
      </c>
      <c r="C184" s="71">
        <v>0.641</v>
      </c>
      <c r="D184" s="22" t="s">
        <v>30</v>
      </c>
      <c r="E184" s="84">
        <f>E146</f>
        <v>17578</v>
      </c>
      <c r="F184" s="84">
        <f t="shared" si="52"/>
        <v>11267</v>
      </c>
      <c r="G184" s="84">
        <f t="shared" si="57"/>
        <v>21911</v>
      </c>
      <c r="H184" s="84">
        <f t="shared" si="53"/>
        <v>14044</v>
      </c>
      <c r="I184" s="84">
        <f>I146</f>
        <v>7823</v>
      </c>
      <c r="J184" s="84">
        <f t="shared" si="54"/>
        <v>5014</v>
      </c>
      <c r="K184" s="84">
        <f t="shared" si="55"/>
        <v>47312</v>
      </c>
      <c r="L184" s="84">
        <f t="shared" si="56"/>
        <v>30325</v>
      </c>
      <c r="M184" s="28"/>
    </row>
    <row r="185" spans="1:13" ht="30" customHeight="1">
      <c r="A185" s="21" t="s">
        <v>40</v>
      </c>
      <c r="B185" s="22" t="s">
        <v>41</v>
      </c>
      <c r="C185" s="71">
        <v>0.369</v>
      </c>
      <c r="D185" s="22" t="s">
        <v>30</v>
      </c>
      <c r="E185" s="83"/>
      <c r="F185" s="83">
        <f t="shared" si="52"/>
        <v>0</v>
      </c>
      <c r="G185" s="83"/>
      <c r="H185" s="83">
        <f t="shared" si="53"/>
        <v>0</v>
      </c>
      <c r="I185" s="84">
        <f>I147</f>
        <v>77</v>
      </c>
      <c r="J185" s="84">
        <f t="shared" si="54"/>
        <v>28</v>
      </c>
      <c r="K185" s="84">
        <f t="shared" si="55"/>
        <v>77</v>
      </c>
      <c r="L185" s="84">
        <f t="shared" si="56"/>
        <v>28</v>
      </c>
      <c r="M185" s="28"/>
    </row>
    <row r="186" spans="1:13" ht="30" customHeight="1">
      <c r="A186" s="25" t="s">
        <v>19</v>
      </c>
      <c r="B186" s="26" t="s">
        <v>20</v>
      </c>
      <c r="C186" s="53">
        <v>1</v>
      </c>
      <c r="D186" s="26" t="s">
        <v>21</v>
      </c>
      <c r="E186" s="82"/>
      <c r="F186" s="92">
        <f>INT(SUM(F175:F185)*0.03)</f>
        <v>12941</v>
      </c>
      <c r="G186" s="123"/>
      <c r="H186" s="92"/>
      <c r="I186" s="123"/>
      <c r="J186" s="92"/>
      <c r="K186" s="123"/>
      <c r="L186" s="84">
        <f t="shared" si="56"/>
        <v>12941</v>
      </c>
      <c r="M186" s="28"/>
    </row>
    <row r="187" spans="1:13" ht="30" customHeight="1">
      <c r="A187" s="25" t="s">
        <v>42</v>
      </c>
      <c r="B187" s="26" t="s">
        <v>43</v>
      </c>
      <c r="C187" s="53">
        <v>1</v>
      </c>
      <c r="D187" s="26" t="s">
        <v>21</v>
      </c>
      <c r="E187" s="82"/>
      <c r="F187" s="92">
        <f>INT(SUM(H175:H185)*0.02)</f>
        <v>1588</v>
      </c>
      <c r="G187" s="123"/>
      <c r="H187" s="92"/>
      <c r="I187" s="123"/>
      <c r="J187" s="92"/>
      <c r="K187" s="123"/>
      <c r="L187" s="84">
        <f t="shared" si="56"/>
        <v>1588</v>
      </c>
      <c r="M187" s="28"/>
    </row>
    <row r="188" spans="1:13" ht="30" customHeight="1">
      <c r="A188" s="11" t="s">
        <v>65</v>
      </c>
      <c r="B188" s="74" t="s">
        <v>60</v>
      </c>
      <c r="C188" s="53">
        <v>1</v>
      </c>
      <c r="D188" s="26" t="s">
        <v>58</v>
      </c>
      <c r="E188" s="82"/>
      <c r="F188" s="92">
        <f>'참고자료-안정화재'!F29</f>
        <v>13390</v>
      </c>
      <c r="G188" s="123"/>
      <c r="H188" s="92">
        <f>'참고자료-안정화재'!H29</f>
        <v>41577</v>
      </c>
      <c r="I188" s="123"/>
      <c r="J188" s="92">
        <f>'참고자료-안정화재'!J29</f>
        <v>0</v>
      </c>
      <c r="K188" s="123"/>
      <c r="L188" s="84">
        <f>+J188+H188+F188</f>
        <v>54967</v>
      </c>
      <c r="M188" s="146" t="s">
        <v>131</v>
      </c>
    </row>
    <row r="189" spans="1:13" ht="30" customHeight="1">
      <c r="A189" s="25" t="s">
        <v>49</v>
      </c>
      <c r="B189" s="26"/>
      <c r="C189" s="53"/>
      <c r="D189" s="26"/>
      <c r="E189" s="82"/>
      <c r="F189" s="92">
        <f>SUM(F175:F188)</f>
        <v>459312</v>
      </c>
      <c r="G189" s="123"/>
      <c r="H189" s="92">
        <f>SUM(H175:H188)</f>
        <v>121008</v>
      </c>
      <c r="I189" s="123"/>
      <c r="J189" s="92">
        <f>SUM(J175:J188)</f>
        <v>37590</v>
      </c>
      <c r="K189" s="123"/>
      <c r="L189" s="92">
        <f>SUM(L175:L188)</f>
        <v>617910</v>
      </c>
      <c r="M189" s="28"/>
    </row>
    <row r="190" spans="1:13" ht="30" customHeight="1">
      <c r="A190" s="25"/>
      <c r="B190" s="26"/>
      <c r="C190" s="53"/>
      <c r="D190" s="26"/>
      <c r="E190" s="82"/>
      <c r="F190" s="92"/>
      <c r="G190" s="123"/>
      <c r="H190" s="92"/>
      <c r="I190" s="123"/>
      <c r="J190" s="92"/>
      <c r="K190" s="123"/>
      <c r="L190" s="92"/>
      <c r="M190" s="28"/>
    </row>
    <row r="191" spans="1:13" ht="30" customHeight="1">
      <c r="A191" s="25"/>
      <c r="B191" s="26"/>
      <c r="C191" s="53"/>
      <c r="D191" s="26"/>
      <c r="E191" s="82"/>
      <c r="F191" s="92"/>
      <c r="G191" s="123"/>
      <c r="H191" s="92"/>
      <c r="I191" s="123"/>
      <c r="J191" s="92"/>
      <c r="K191" s="123"/>
      <c r="L191" s="92"/>
      <c r="M191" s="28"/>
    </row>
    <row r="192" spans="1:13" ht="30" customHeight="1" thickBot="1">
      <c r="A192" s="29"/>
      <c r="B192" s="30"/>
      <c r="C192" s="51"/>
      <c r="D192" s="30"/>
      <c r="E192" s="93"/>
      <c r="F192" s="93"/>
      <c r="G192" s="93"/>
      <c r="H192" s="93"/>
      <c r="I192" s="124"/>
      <c r="J192" s="124"/>
      <c r="K192" s="124"/>
      <c r="L192" s="93"/>
      <c r="M192" s="32"/>
    </row>
    <row r="193" spans="1:13" ht="30" customHeight="1">
      <c r="A193" s="17" t="s">
        <v>153</v>
      </c>
      <c r="B193" s="18"/>
      <c r="C193" s="52"/>
      <c r="D193" s="19"/>
      <c r="E193" s="83"/>
      <c r="F193" s="91"/>
      <c r="G193" s="91"/>
      <c r="H193" s="91"/>
      <c r="I193" s="91"/>
      <c r="J193" s="91"/>
      <c r="K193" s="91"/>
      <c r="L193" s="91"/>
      <c r="M193" s="20"/>
    </row>
    <row r="194" spans="1:13" ht="30" customHeight="1">
      <c r="A194" s="21" t="s">
        <v>77</v>
      </c>
      <c r="B194" s="213" t="str">
        <f>B175</f>
        <v>HI - 그린</v>
      </c>
      <c r="C194" s="47">
        <v>440</v>
      </c>
      <c r="D194" s="22" t="s">
        <v>31</v>
      </c>
      <c r="E194" s="84">
        <f>E156</f>
        <v>840</v>
      </c>
      <c r="F194" s="84">
        <f aca="true" t="shared" si="58" ref="F194:F204">INT(E194*C194)</f>
        <v>369600</v>
      </c>
      <c r="G194" s="83"/>
      <c r="H194" s="83">
        <f aca="true" t="shared" si="59" ref="H194:H204">INT(G194*C194)</f>
        <v>0</v>
      </c>
      <c r="I194" s="83"/>
      <c r="J194" s="83">
        <f aca="true" t="shared" si="60" ref="J194:J204">INT(I194*C194)</f>
        <v>0</v>
      </c>
      <c r="K194" s="84">
        <f aca="true" t="shared" si="61" ref="K194:K204">E194+G194+I194</f>
        <v>840</v>
      </c>
      <c r="L194" s="84">
        <f aca="true" t="shared" si="62" ref="L194:L206">+J194+H194+F194</f>
        <v>369600</v>
      </c>
      <c r="M194" s="61"/>
    </row>
    <row r="195" spans="1:13" ht="30" customHeight="1">
      <c r="A195" s="21" t="s">
        <v>78</v>
      </c>
      <c r="B195" s="45" t="s">
        <v>46</v>
      </c>
      <c r="C195" s="47">
        <v>80</v>
      </c>
      <c r="D195" s="22" t="s">
        <v>32</v>
      </c>
      <c r="E195" s="84">
        <f>E157</f>
        <v>40</v>
      </c>
      <c r="F195" s="84">
        <f t="shared" si="58"/>
        <v>3200</v>
      </c>
      <c r="G195" s="83"/>
      <c r="H195" s="83">
        <f t="shared" si="59"/>
        <v>0</v>
      </c>
      <c r="I195" s="83"/>
      <c r="J195" s="83">
        <f t="shared" si="60"/>
        <v>0</v>
      </c>
      <c r="K195" s="84">
        <f t="shared" si="61"/>
        <v>40</v>
      </c>
      <c r="L195" s="84">
        <f t="shared" si="62"/>
        <v>3200</v>
      </c>
      <c r="M195" s="61"/>
    </row>
    <row r="196" spans="1:13" ht="30" customHeight="1">
      <c r="A196" s="21" t="s">
        <v>202</v>
      </c>
      <c r="B196" s="45" t="str">
        <f>B177</f>
        <v>표준형</v>
      </c>
      <c r="C196" s="47">
        <v>0.2</v>
      </c>
      <c r="D196" s="22" t="s">
        <v>33</v>
      </c>
      <c r="E196" s="84">
        <f>E158</f>
        <v>170000</v>
      </c>
      <c r="F196" s="84">
        <f t="shared" si="58"/>
        <v>34000</v>
      </c>
      <c r="G196" s="83"/>
      <c r="H196" s="83">
        <f t="shared" si="59"/>
        <v>0</v>
      </c>
      <c r="I196" s="83"/>
      <c r="J196" s="83">
        <f t="shared" si="60"/>
        <v>0</v>
      </c>
      <c r="K196" s="84">
        <f t="shared" si="61"/>
        <v>170000</v>
      </c>
      <c r="L196" s="84">
        <f t="shared" si="62"/>
        <v>34000</v>
      </c>
      <c r="M196" s="62"/>
    </row>
    <row r="197" spans="1:13" ht="30" customHeight="1">
      <c r="A197" s="21" t="s">
        <v>15</v>
      </c>
      <c r="B197" s="22"/>
      <c r="C197" s="71">
        <v>0.061</v>
      </c>
      <c r="D197" s="22" t="s">
        <v>16</v>
      </c>
      <c r="E197" s="83"/>
      <c r="F197" s="83">
        <f t="shared" si="58"/>
        <v>0</v>
      </c>
      <c r="G197" s="46">
        <f aca="true" t="shared" si="63" ref="G197:G203">G159</f>
        <v>105826</v>
      </c>
      <c r="H197" s="84">
        <f t="shared" si="59"/>
        <v>6455</v>
      </c>
      <c r="I197" s="83"/>
      <c r="J197" s="83">
        <f t="shared" si="60"/>
        <v>0</v>
      </c>
      <c r="K197" s="84">
        <f t="shared" si="61"/>
        <v>105826</v>
      </c>
      <c r="L197" s="84">
        <f t="shared" si="62"/>
        <v>6455</v>
      </c>
      <c r="M197" s="43"/>
    </row>
    <row r="198" spans="1:13" ht="30" customHeight="1">
      <c r="A198" s="21" t="s">
        <v>17</v>
      </c>
      <c r="B198" s="22"/>
      <c r="C198" s="71">
        <v>0.121</v>
      </c>
      <c r="D198" s="22" t="s">
        <v>16</v>
      </c>
      <c r="E198" s="83"/>
      <c r="F198" s="83">
        <f t="shared" si="58"/>
        <v>0</v>
      </c>
      <c r="G198" s="46">
        <f t="shared" si="63"/>
        <v>102334</v>
      </c>
      <c r="H198" s="84">
        <f t="shared" si="59"/>
        <v>12382</v>
      </c>
      <c r="I198" s="83"/>
      <c r="J198" s="83">
        <f t="shared" si="60"/>
        <v>0</v>
      </c>
      <c r="K198" s="84">
        <f t="shared" si="61"/>
        <v>102334</v>
      </c>
      <c r="L198" s="84">
        <f t="shared" si="62"/>
        <v>12382</v>
      </c>
      <c r="M198" s="24"/>
    </row>
    <row r="199" spans="1:13" ht="30" customHeight="1">
      <c r="A199" s="21" t="s">
        <v>18</v>
      </c>
      <c r="B199" s="22"/>
      <c r="C199" s="71">
        <v>0.279</v>
      </c>
      <c r="D199" s="22" t="s">
        <v>16</v>
      </c>
      <c r="E199" s="83"/>
      <c r="F199" s="83">
        <f t="shared" si="58"/>
        <v>0</v>
      </c>
      <c r="G199" s="46">
        <f t="shared" si="63"/>
        <v>84166</v>
      </c>
      <c r="H199" s="84">
        <f t="shared" si="59"/>
        <v>23482</v>
      </c>
      <c r="I199" s="83"/>
      <c r="J199" s="83">
        <f t="shared" si="60"/>
        <v>0</v>
      </c>
      <c r="K199" s="84">
        <f t="shared" si="61"/>
        <v>84166</v>
      </c>
      <c r="L199" s="84">
        <f t="shared" si="62"/>
        <v>23482</v>
      </c>
      <c r="M199" s="24"/>
    </row>
    <row r="200" spans="1:13" ht="30" customHeight="1">
      <c r="A200" s="21" t="s">
        <v>34</v>
      </c>
      <c r="B200" s="22" t="s">
        <v>47</v>
      </c>
      <c r="C200" s="71">
        <v>0.369</v>
      </c>
      <c r="D200" s="22" t="s">
        <v>30</v>
      </c>
      <c r="E200" s="84">
        <f>E162</f>
        <v>11166</v>
      </c>
      <c r="F200" s="84">
        <f t="shared" si="58"/>
        <v>4120</v>
      </c>
      <c r="G200" s="84">
        <f t="shared" si="63"/>
        <v>18695</v>
      </c>
      <c r="H200" s="84">
        <f t="shared" si="59"/>
        <v>6898</v>
      </c>
      <c r="I200" s="84">
        <f>I162</f>
        <v>71731</v>
      </c>
      <c r="J200" s="84">
        <f t="shared" si="60"/>
        <v>26468</v>
      </c>
      <c r="K200" s="84">
        <f t="shared" si="61"/>
        <v>101592</v>
      </c>
      <c r="L200" s="84">
        <f t="shared" si="62"/>
        <v>37486</v>
      </c>
      <c r="M200" s="24"/>
    </row>
    <row r="201" spans="1:13" ht="30" customHeight="1">
      <c r="A201" s="21" t="s">
        <v>35</v>
      </c>
      <c r="B201" s="22" t="s">
        <v>36</v>
      </c>
      <c r="C201" s="71">
        <v>0.369</v>
      </c>
      <c r="D201" s="22" t="s">
        <v>129</v>
      </c>
      <c r="E201" s="84">
        <f>E163</f>
        <v>8898</v>
      </c>
      <c r="F201" s="84">
        <f t="shared" si="58"/>
        <v>3283</v>
      </c>
      <c r="G201" s="84">
        <f t="shared" si="63"/>
        <v>21911</v>
      </c>
      <c r="H201" s="84">
        <f t="shared" si="59"/>
        <v>8085</v>
      </c>
      <c r="I201" s="84">
        <f>I163</f>
        <v>10362</v>
      </c>
      <c r="J201" s="84">
        <f t="shared" si="60"/>
        <v>3823</v>
      </c>
      <c r="K201" s="84">
        <f t="shared" si="61"/>
        <v>41171</v>
      </c>
      <c r="L201" s="84">
        <f t="shared" si="62"/>
        <v>15191</v>
      </c>
      <c r="M201" s="24"/>
    </row>
    <row r="202" spans="1:13" ht="30" customHeight="1">
      <c r="A202" s="21" t="s">
        <v>45</v>
      </c>
      <c r="B202" s="22" t="s">
        <v>37</v>
      </c>
      <c r="C202" s="71">
        <v>0.369</v>
      </c>
      <c r="D202" s="22" t="s">
        <v>30</v>
      </c>
      <c r="E202" s="84">
        <f>E164</f>
        <v>16052</v>
      </c>
      <c r="F202" s="84">
        <f t="shared" si="58"/>
        <v>5923</v>
      </c>
      <c r="G202" s="84">
        <f t="shared" si="63"/>
        <v>21911</v>
      </c>
      <c r="H202" s="84">
        <f t="shared" si="59"/>
        <v>8085</v>
      </c>
      <c r="I202" s="84">
        <f>I164</f>
        <v>6117</v>
      </c>
      <c r="J202" s="84">
        <f t="shared" si="60"/>
        <v>2257</v>
      </c>
      <c r="K202" s="84">
        <f t="shared" si="61"/>
        <v>44080</v>
      </c>
      <c r="L202" s="84">
        <f t="shared" si="62"/>
        <v>16265</v>
      </c>
      <c r="M202" s="24"/>
    </row>
    <row r="203" spans="1:13" ht="30" customHeight="1">
      <c r="A203" s="21" t="s">
        <v>38</v>
      </c>
      <c r="B203" s="22" t="s">
        <v>39</v>
      </c>
      <c r="C203" s="71">
        <v>0.641</v>
      </c>
      <c r="D203" s="22" t="s">
        <v>30</v>
      </c>
      <c r="E203" s="84">
        <f>E165</f>
        <v>17578</v>
      </c>
      <c r="F203" s="84">
        <f t="shared" si="58"/>
        <v>11267</v>
      </c>
      <c r="G203" s="84">
        <f t="shared" si="63"/>
        <v>21911</v>
      </c>
      <c r="H203" s="84">
        <f t="shared" si="59"/>
        <v>14044</v>
      </c>
      <c r="I203" s="84">
        <f>I165</f>
        <v>7823</v>
      </c>
      <c r="J203" s="84">
        <f t="shared" si="60"/>
        <v>5014</v>
      </c>
      <c r="K203" s="84">
        <f t="shared" si="61"/>
        <v>47312</v>
      </c>
      <c r="L203" s="84">
        <f t="shared" si="62"/>
        <v>30325</v>
      </c>
      <c r="M203" s="24"/>
    </row>
    <row r="204" spans="1:13" ht="30" customHeight="1">
      <c r="A204" s="21" t="s">
        <v>40</v>
      </c>
      <c r="B204" s="22" t="s">
        <v>41</v>
      </c>
      <c r="C204" s="71">
        <v>0.369</v>
      </c>
      <c r="D204" s="22" t="s">
        <v>30</v>
      </c>
      <c r="E204" s="83"/>
      <c r="F204" s="83">
        <f t="shared" si="58"/>
        <v>0</v>
      </c>
      <c r="G204" s="83"/>
      <c r="H204" s="83">
        <f t="shared" si="59"/>
        <v>0</v>
      </c>
      <c r="I204" s="84">
        <f>I166</f>
        <v>77</v>
      </c>
      <c r="J204" s="84">
        <f t="shared" si="60"/>
        <v>28</v>
      </c>
      <c r="K204" s="84">
        <f t="shared" si="61"/>
        <v>77</v>
      </c>
      <c r="L204" s="84">
        <f t="shared" si="62"/>
        <v>28</v>
      </c>
      <c r="M204" s="24"/>
    </row>
    <row r="205" spans="1:13" ht="30" customHeight="1">
      <c r="A205" s="25" t="s">
        <v>19</v>
      </c>
      <c r="B205" s="26" t="s">
        <v>20</v>
      </c>
      <c r="C205" s="53">
        <v>1</v>
      </c>
      <c r="D205" s="26" t="s">
        <v>21</v>
      </c>
      <c r="E205" s="82"/>
      <c r="F205" s="84">
        <f>INT(SUM(F194:F204)*0.03)</f>
        <v>12941</v>
      </c>
      <c r="G205" s="82"/>
      <c r="H205" s="82"/>
      <c r="I205" s="92"/>
      <c r="J205" s="92"/>
      <c r="K205" s="92"/>
      <c r="L205" s="84">
        <f t="shared" si="62"/>
        <v>12941</v>
      </c>
      <c r="M205" s="28"/>
    </row>
    <row r="206" spans="1:13" ht="30" customHeight="1">
      <c r="A206" s="25" t="s">
        <v>42</v>
      </c>
      <c r="B206" s="26" t="s">
        <v>43</v>
      </c>
      <c r="C206" s="53">
        <v>1</v>
      </c>
      <c r="D206" s="26" t="s">
        <v>21</v>
      </c>
      <c r="E206" s="82"/>
      <c r="F206" s="82">
        <f>INT(SUM(H194:H204)*0.02)</f>
        <v>1588</v>
      </c>
      <c r="G206" s="82"/>
      <c r="H206" s="84"/>
      <c r="I206" s="92"/>
      <c r="J206" s="92"/>
      <c r="K206" s="92"/>
      <c r="L206" s="84">
        <f t="shared" si="62"/>
        <v>1588</v>
      </c>
      <c r="M206" s="28"/>
    </row>
    <row r="207" spans="1:13" ht="30" customHeight="1">
      <c r="A207" s="25" t="s">
        <v>76</v>
      </c>
      <c r="B207" s="74" t="s">
        <v>23</v>
      </c>
      <c r="C207" s="53">
        <v>1</v>
      </c>
      <c r="D207" s="26" t="s">
        <v>58</v>
      </c>
      <c r="E207" s="82"/>
      <c r="F207" s="82">
        <f>'참고자료-안정화재'!F51</f>
        <v>50344</v>
      </c>
      <c r="G207" s="82"/>
      <c r="H207" s="82">
        <f>'참고자료-안정화재'!H51</f>
        <v>79045</v>
      </c>
      <c r="I207" s="82"/>
      <c r="J207" s="82">
        <f>'참고자료-안정화재'!J51</f>
        <v>712</v>
      </c>
      <c r="K207" s="82"/>
      <c r="L207" s="84">
        <f>+J207+H207+F207</f>
        <v>130101</v>
      </c>
      <c r="M207" s="146" t="s">
        <v>131</v>
      </c>
    </row>
    <row r="208" spans="1:13" ht="30" customHeight="1">
      <c r="A208" s="25" t="s">
        <v>49</v>
      </c>
      <c r="B208" s="26"/>
      <c r="C208" s="53"/>
      <c r="D208" s="26"/>
      <c r="E208" s="82"/>
      <c r="F208" s="92">
        <f>SUM(F194:F207)</f>
        <v>496266</v>
      </c>
      <c r="G208" s="82"/>
      <c r="H208" s="92">
        <f>SUM(H194:H207)</f>
        <v>158476</v>
      </c>
      <c r="I208" s="92"/>
      <c r="J208" s="92">
        <f>SUM(J194:J207)</f>
        <v>38302</v>
      </c>
      <c r="K208" s="92"/>
      <c r="L208" s="92">
        <f>SUM(L194:L207)</f>
        <v>693044</v>
      </c>
      <c r="M208" s="28"/>
    </row>
    <row r="209" spans="1:13" ht="30" customHeight="1">
      <c r="A209" s="25"/>
      <c r="B209" s="26"/>
      <c r="C209" s="53"/>
      <c r="D209" s="26"/>
      <c r="E209" s="82"/>
      <c r="F209" s="92"/>
      <c r="G209" s="82"/>
      <c r="H209" s="92"/>
      <c r="I209" s="92"/>
      <c r="J209" s="92"/>
      <c r="K209" s="92"/>
      <c r="L209" s="92"/>
      <c r="M209" s="28"/>
    </row>
    <row r="210" spans="1:13" ht="30" customHeight="1">
      <c r="A210" s="25"/>
      <c r="B210" s="26"/>
      <c r="C210" s="53"/>
      <c r="D210" s="26"/>
      <c r="E210" s="82"/>
      <c r="F210" s="92"/>
      <c r="G210" s="82"/>
      <c r="H210" s="92"/>
      <c r="I210" s="92"/>
      <c r="J210" s="92"/>
      <c r="K210" s="92"/>
      <c r="L210" s="92"/>
      <c r="M210" s="28"/>
    </row>
    <row r="211" spans="1:13" ht="30" customHeight="1">
      <c r="A211" s="25"/>
      <c r="B211" s="26"/>
      <c r="C211" s="53"/>
      <c r="D211" s="26"/>
      <c r="E211" s="82"/>
      <c r="F211" s="82"/>
      <c r="G211" s="82"/>
      <c r="H211" s="82"/>
      <c r="I211" s="82"/>
      <c r="J211" s="82"/>
      <c r="K211" s="82"/>
      <c r="L211" s="82"/>
      <c r="M211" s="28"/>
    </row>
    <row r="212" spans="1:13" ht="30" customHeight="1">
      <c r="A212" s="215" t="s">
        <v>215</v>
      </c>
      <c r="B212" s="215"/>
      <c r="C212" s="46"/>
      <c r="D212" s="22"/>
      <c r="E212" s="83"/>
      <c r="F212" s="83"/>
      <c r="G212" s="83"/>
      <c r="H212" s="83"/>
      <c r="I212" s="83"/>
      <c r="J212" s="83"/>
      <c r="K212" s="83"/>
      <c r="L212" s="83"/>
      <c r="M212" s="216"/>
    </row>
    <row r="213" spans="1:13" ht="30" customHeight="1">
      <c r="A213" s="22" t="s">
        <v>77</v>
      </c>
      <c r="B213" s="217" t="str">
        <f>B194</f>
        <v>HI - 그린</v>
      </c>
      <c r="C213" s="47">
        <v>550</v>
      </c>
      <c r="D213" s="22" t="s">
        <v>31</v>
      </c>
      <c r="E213" s="84">
        <f>E194</f>
        <v>840</v>
      </c>
      <c r="F213" s="84">
        <f>E213*C213</f>
        <v>462000</v>
      </c>
      <c r="G213" s="83"/>
      <c r="H213" s="83">
        <f>INT(G213*C213)</f>
        <v>0</v>
      </c>
      <c r="I213" s="83"/>
      <c r="J213" s="83">
        <f aca="true" t="shared" si="64" ref="J213:J218">INT(I213*C213)</f>
        <v>0</v>
      </c>
      <c r="K213" s="84">
        <f>E213+G213+I213</f>
        <v>840</v>
      </c>
      <c r="L213" s="84">
        <f>F213+H213+J213</f>
        <v>462000</v>
      </c>
      <c r="M213" s="218"/>
    </row>
    <row r="214" spans="1:13" ht="30" customHeight="1">
      <c r="A214" s="22" t="s">
        <v>78</v>
      </c>
      <c r="B214" s="22" t="s">
        <v>46</v>
      </c>
      <c r="C214" s="47">
        <v>100</v>
      </c>
      <c r="D214" s="22" t="s">
        <v>32</v>
      </c>
      <c r="E214" s="84">
        <f>E195</f>
        <v>40</v>
      </c>
      <c r="F214" s="84">
        <f>E214*C214</f>
        <v>4000</v>
      </c>
      <c r="G214" s="83"/>
      <c r="H214" s="83">
        <f>INT(G214*C214)</f>
        <v>0</v>
      </c>
      <c r="I214" s="83"/>
      <c r="J214" s="83">
        <f t="shared" si="64"/>
        <v>0</v>
      </c>
      <c r="K214" s="84">
        <f aca="true" t="shared" si="65" ref="K214:K223">E214+G214+I214</f>
        <v>40</v>
      </c>
      <c r="L214" s="84">
        <f aca="true" t="shared" si="66" ref="L214:L225">F214+H214+J214</f>
        <v>4000</v>
      </c>
      <c r="M214" s="218"/>
    </row>
    <row r="215" spans="1:13" ht="30" customHeight="1">
      <c r="A215" s="22" t="s">
        <v>202</v>
      </c>
      <c r="B215" s="22" t="str">
        <f>B196</f>
        <v>표준형</v>
      </c>
      <c r="C215" s="47">
        <v>0.2</v>
      </c>
      <c r="D215" s="22" t="s">
        <v>33</v>
      </c>
      <c r="E215" s="84">
        <f>E196</f>
        <v>170000</v>
      </c>
      <c r="F215" s="84">
        <f>E215*C215</f>
        <v>34000</v>
      </c>
      <c r="G215" s="83"/>
      <c r="H215" s="83">
        <f>INT(G215*C215)</f>
        <v>0</v>
      </c>
      <c r="I215" s="83"/>
      <c r="J215" s="83">
        <f t="shared" si="64"/>
        <v>0</v>
      </c>
      <c r="K215" s="84">
        <f t="shared" si="65"/>
        <v>170000</v>
      </c>
      <c r="L215" s="84">
        <f t="shared" si="66"/>
        <v>34000</v>
      </c>
      <c r="M215" s="219"/>
    </row>
    <row r="216" spans="1:13" ht="30" customHeight="1">
      <c r="A216" s="22" t="s">
        <v>15</v>
      </c>
      <c r="B216" s="22"/>
      <c r="C216" s="71">
        <v>0.076</v>
      </c>
      <c r="D216" s="22" t="s">
        <v>16</v>
      </c>
      <c r="E216" s="83"/>
      <c r="F216" s="83">
        <f>INT(E216*C216)</f>
        <v>0</v>
      </c>
      <c r="G216" s="46">
        <f aca="true" t="shared" si="67" ref="G216:G222">G197</f>
        <v>105826</v>
      </c>
      <c r="H216" s="84">
        <f aca="true" t="shared" si="68" ref="H216:H222">G216*C216</f>
        <v>8042.776</v>
      </c>
      <c r="I216" s="83"/>
      <c r="J216" s="83">
        <f t="shared" si="64"/>
        <v>0</v>
      </c>
      <c r="K216" s="84">
        <f t="shared" si="65"/>
        <v>105826</v>
      </c>
      <c r="L216" s="84">
        <f t="shared" si="66"/>
        <v>8042.776</v>
      </c>
      <c r="M216" s="220"/>
    </row>
    <row r="217" spans="1:13" ht="30" customHeight="1">
      <c r="A217" s="22" t="s">
        <v>17</v>
      </c>
      <c r="B217" s="22"/>
      <c r="C217" s="71">
        <v>0.151</v>
      </c>
      <c r="D217" s="22" t="s">
        <v>16</v>
      </c>
      <c r="E217" s="83"/>
      <c r="F217" s="83">
        <f>INT(E217*C217)</f>
        <v>0</v>
      </c>
      <c r="G217" s="46">
        <f t="shared" si="67"/>
        <v>102334</v>
      </c>
      <c r="H217" s="84">
        <f t="shared" si="68"/>
        <v>15452.434</v>
      </c>
      <c r="I217" s="83"/>
      <c r="J217" s="83">
        <f t="shared" si="64"/>
        <v>0</v>
      </c>
      <c r="K217" s="84">
        <f t="shared" si="65"/>
        <v>102334</v>
      </c>
      <c r="L217" s="84">
        <f t="shared" si="66"/>
        <v>15452.434</v>
      </c>
      <c r="M217" s="221"/>
    </row>
    <row r="218" spans="1:13" ht="30" customHeight="1">
      <c r="A218" s="22" t="s">
        <v>18</v>
      </c>
      <c r="B218" s="22"/>
      <c r="C218" s="71">
        <v>0.335</v>
      </c>
      <c r="D218" s="22" t="s">
        <v>16</v>
      </c>
      <c r="E218" s="83"/>
      <c r="F218" s="83">
        <f>INT(E218*C218)</f>
        <v>0</v>
      </c>
      <c r="G218" s="46">
        <f t="shared" si="67"/>
        <v>84166</v>
      </c>
      <c r="H218" s="84">
        <f t="shared" si="68"/>
        <v>28195.61</v>
      </c>
      <c r="I218" s="83"/>
      <c r="J218" s="83">
        <f t="shared" si="64"/>
        <v>0</v>
      </c>
      <c r="K218" s="84">
        <f t="shared" si="65"/>
        <v>84166</v>
      </c>
      <c r="L218" s="84">
        <f t="shared" si="66"/>
        <v>28195.61</v>
      </c>
      <c r="M218" s="221"/>
    </row>
    <row r="219" spans="1:13" ht="30" customHeight="1">
      <c r="A219" s="22" t="s">
        <v>34</v>
      </c>
      <c r="B219" s="22" t="s">
        <v>47</v>
      </c>
      <c r="C219" s="71">
        <v>0.461</v>
      </c>
      <c r="D219" s="22" t="s">
        <v>30</v>
      </c>
      <c r="E219" s="84">
        <f>E200</f>
        <v>11166</v>
      </c>
      <c r="F219" s="84">
        <f>E219*C219</f>
        <v>5147.526</v>
      </c>
      <c r="G219" s="84">
        <f t="shared" si="67"/>
        <v>18695</v>
      </c>
      <c r="H219" s="84">
        <f t="shared" si="68"/>
        <v>8618.395</v>
      </c>
      <c r="I219" s="84">
        <f>I200</f>
        <v>71731</v>
      </c>
      <c r="J219" s="84">
        <f>INT(I219*C219)</f>
        <v>33067</v>
      </c>
      <c r="K219" s="84">
        <f t="shared" si="65"/>
        <v>101592</v>
      </c>
      <c r="L219" s="84">
        <f t="shared" si="66"/>
        <v>46832.921</v>
      </c>
      <c r="M219" s="221"/>
    </row>
    <row r="220" spans="1:13" ht="30" customHeight="1">
      <c r="A220" s="22" t="s">
        <v>35</v>
      </c>
      <c r="B220" s="22" t="s">
        <v>36</v>
      </c>
      <c r="C220" s="71">
        <v>0.461</v>
      </c>
      <c r="D220" s="22" t="s">
        <v>30</v>
      </c>
      <c r="E220" s="84">
        <f>E201</f>
        <v>8898</v>
      </c>
      <c r="F220" s="84">
        <f>E220*C220</f>
        <v>4101.978</v>
      </c>
      <c r="G220" s="84">
        <f t="shared" si="67"/>
        <v>21911</v>
      </c>
      <c r="H220" s="84">
        <f t="shared" si="68"/>
        <v>10100.971</v>
      </c>
      <c r="I220" s="84">
        <f>I201</f>
        <v>10362</v>
      </c>
      <c r="J220" s="84">
        <f>INT(I220*C220)</f>
        <v>4776</v>
      </c>
      <c r="K220" s="84">
        <f t="shared" si="65"/>
        <v>41171</v>
      </c>
      <c r="L220" s="84">
        <f t="shared" si="66"/>
        <v>18978.949</v>
      </c>
      <c r="M220" s="221"/>
    </row>
    <row r="221" spans="1:13" ht="30" customHeight="1">
      <c r="A221" s="22" t="s">
        <v>45</v>
      </c>
      <c r="B221" s="22" t="s">
        <v>37</v>
      </c>
      <c r="C221" s="71">
        <v>0.461</v>
      </c>
      <c r="D221" s="22" t="s">
        <v>30</v>
      </c>
      <c r="E221" s="84">
        <f>E202</f>
        <v>16052</v>
      </c>
      <c r="F221" s="84">
        <f>E221*C221</f>
        <v>7399.972000000001</v>
      </c>
      <c r="G221" s="84">
        <f t="shared" si="67"/>
        <v>21911</v>
      </c>
      <c r="H221" s="84">
        <f t="shared" si="68"/>
        <v>10100.971</v>
      </c>
      <c r="I221" s="84">
        <f>I202</f>
        <v>6117</v>
      </c>
      <c r="J221" s="84">
        <f>INT(I221*C221)</f>
        <v>2819</v>
      </c>
      <c r="K221" s="84">
        <f t="shared" si="65"/>
        <v>44080</v>
      </c>
      <c r="L221" s="84">
        <f t="shared" si="66"/>
        <v>20319.943</v>
      </c>
      <c r="M221" s="221"/>
    </row>
    <row r="222" spans="1:13" ht="30" customHeight="1">
      <c r="A222" s="22" t="s">
        <v>38</v>
      </c>
      <c r="B222" s="22" t="s">
        <v>39</v>
      </c>
      <c r="C222" s="71">
        <v>0.728</v>
      </c>
      <c r="D222" s="22" t="s">
        <v>30</v>
      </c>
      <c r="E222" s="84">
        <f>E203</f>
        <v>17578</v>
      </c>
      <c r="F222" s="84">
        <f>E222*C222</f>
        <v>12796.784</v>
      </c>
      <c r="G222" s="84">
        <f t="shared" si="67"/>
        <v>21911</v>
      </c>
      <c r="H222" s="84">
        <f t="shared" si="68"/>
        <v>15951.207999999999</v>
      </c>
      <c r="I222" s="84">
        <f>I203</f>
        <v>7823</v>
      </c>
      <c r="J222" s="84">
        <f>INT(I222*C222)</f>
        <v>5695</v>
      </c>
      <c r="K222" s="84">
        <f t="shared" si="65"/>
        <v>47312</v>
      </c>
      <c r="L222" s="84">
        <f t="shared" si="66"/>
        <v>34442.992</v>
      </c>
      <c r="M222" s="221"/>
    </row>
    <row r="223" spans="1:13" ht="30" customHeight="1">
      <c r="A223" s="22" t="s">
        <v>40</v>
      </c>
      <c r="B223" s="22" t="s">
        <v>41</v>
      </c>
      <c r="C223" s="71">
        <v>0.461</v>
      </c>
      <c r="D223" s="22" t="s">
        <v>30</v>
      </c>
      <c r="E223" s="83"/>
      <c r="F223" s="84">
        <f>E223*C223</f>
        <v>0</v>
      </c>
      <c r="G223" s="83"/>
      <c r="H223" s="83">
        <f>INT(G223*C223)</f>
        <v>0</v>
      </c>
      <c r="I223" s="84">
        <f>I204</f>
        <v>77</v>
      </c>
      <c r="J223" s="84">
        <f>INT(I223*C223)</f>
        <v>35</v>
      </c>
      <c r="K223" s="84">
        <f t="shared" si="65"/>
        <v>77</v>
      </c>
      <c r="L223" s="84">
        <f t="shared" si="66"/>
        <v>35</v>
      </c>
      <c r="M223" s="221"/>
    </row>
    <row r="224" spans="1:13" ht="30" customHeight="1">
      <c r="A224" s="22" t="s">
        <v>19</v>
      </c>
      <c r="B224" s="22" t="s">
        <v>20</v>
      </c>
      <c r="C224" s="46">
        <v>1</v>
      </c>
      <c r="D224" s="22" t="s">
        <v>21</v>
      </c>
      <c r="E224" s="83"/>
      <c r="F224" s="84">
        <f>INT(SUM(F213:F223)*0.03)</f>
        <v>15883</v>
      </c>
      <c r="G224" s="83"/>
      <c r="H224" s="83">
        <v>0</v>
      </c>
      <c r="I224" s="84"/>
      <c r="J224" s="84">
        <v>0</v>
      </c>
      <c r="K224" s="84"/>
      <c r="L224" s="84">
        <f t="shared" si="66"/>
        <v>15883</v>
      </c>
      <c r="M224" s="221"/>
    </row>
    <row r="225" spans="1:13" ht="30" customHeight="1">
      <c r="A225" s="22" t="s">
        <v>42</v>
      </c>
      <c r="B225" s="22" t="s">
        <v>43</v>
      </c>
      <c r="C225" s="46">
        <v>1</v>
      </c>
      <c r="D225" s="22" t="s">
        <v>21</v>
      </c>
      <c r="E225" s="83"/>
      <c r="F225" s="83">
        <f>INT(SUM(H213:H223)*0.02)</f>
        <v>1929</v>
      </c>
      <c r="G225" s="83"/>
      <c r="H225" s="84">
        <v>0</v>
      </c>
      <c r="I225" s="84"/>
      <c r="J225" s="84">
        <v>0</v>
      </c>
      <c r="K225" s="84"/>
      <c r="L225" s="84">
        <f t="shared" si="66"/>
        <v>1929</v>
      </c>
      <c r="M225" s="221"/>
    </row>
    <row r="226" spans="1:13" ht="30" customHeight="1">
      <c r="A226" s="11" t="s">
        <v>65</v>
      </c>
      <c r="B226" s="74" t="s">
        <v>60</v>
      </c>
      <c r="C226" s="53">
        <v>1</v>
      </c>
      <c r="D226" s="26" t="s">
        <v>58</v>
      </c>
      <c r="E226" s="82"/>
      <c r="F226" s="92">
        <f>'참고자료-안정화재'!F29</f>
        <v>13390</v>
      </c>
      <c r="G226" s="123"/>
      <c r="H226" s="92">
        <f>'참고자료-안정화재'!H29</f>
        <v>41577</v>
      </c>
      <c r="I226" s="123"/>
      <c r="J226" s="92">
        <f>'참고자료-안정화재'!J29</f>
        <v>0</v>
      </c>
      <c r="K226" s="123"/>
      <c r="L226" s="84">
        <f>F226+H226+J226</f>
        <v>54967</v>
      </c>
      <c r="M226" s="146" t="s">
        <v>131</v>
      </c>
    </row>
    <row r="227" spans="1:13" ht="30" customHeight="1">
      <c r="A227" s="22" t="s">
        <v>49</v>
      </c>
      <c r="B227" s="22"/>
      <c r="C227" s="46"/>
      <c r="D227" s="22"/>
      <c r="E227" s="83"/>
      <c r="F227" s="84">
        <f>SUM(F213:F226)</f>
        <v>560648.26</v>
      </c>
      <c r="G227" s="222"/>
      <c r="H227" s="84">
        <f>SUM(H213:H226)</f>
        <v>138039.365</v>
      </c>
      <c r="I227" s="222"/>
      <c r="J227" s="84">
        <f>SUM(J213:J226)</f>
        <v>46392</v>
      </c>
      <c r="K227" s="222"/>
      <c r="L227" s="84">
        <f>SUM(L213:L226)</f>
        <v>745079.625</v>
      </c>
      <c r="M227" s="221"/>
    </row>
    <row r="228" spans="1:13" ht="30" customHeight="1">
      <c r="A228" s="22"/>
      <c r="B228" s="22"/>
      <c r="C228" s="46"/>
      <c r="D228" s="22"/>
      <c r="E228" s="83"/>
      <c r="F228" s="84"/>
      <c r="G228" s="222"/>
      <c r="H228" s="84"/>
      <c r="I228" s="222"/>
      <c r="J228" s="84"/>
      <c r="K228" s="222"/>
      <c r="L228" s="84"/>
      <c r="M228" s="221"/>
    </row>
    <row r="229" spans="1:13" ht="30" customHeight="1">
      <c r="A229" s="22"/>
      <c r="B229" s="22"/>
      <c r="C229" s="46"/>
      <c r="D229" s="22"/>
      <c r="E229" s="83"/>
      <c r="F229" s="84"/>
      <c r="G229" s="222"/>
      <c r="H229" s="84"/>
      <c r="I229" s="222"/>
      <c r="J229" s="84"/>
      <c r="K229" s="222"/>
      <c r="L229" s="84"/>
      <c r="M229" s="221"/>
    </row>
    <row r="230" spans="1:13" ht="30" customHeight="1">
      <c r="A230" s="22"/>
      <c r="B230" s="22"/>
      <c r="C230" s="46"/>
      <c r="D230" s="22"/>
      <c r="E230" s="83"/>
      <c r="F230" s="84"/>
      <c r="G230" s="222"/>
      <c r="H230" s="84"/>
      <c r="I230" s="222"/>
      <c r="J230" s="84"/>
      <c r="K230" s="222"/>
      <c r="L230" s="84"/>
      <c r="M230" s="221"/>
    </row>
    <row r="231" spans="1:13" ht="30" customHeight="1">
      <c r="A231" s="204" t="s">
        <v>146</v>
      </c>
      <c r="B231" s="205"/>
      <c r="C231" s="206"/>
      <c r="D231" s="207"/>
      <c r="E231" s="208"/>
      <c r="F231" s="208"/>
      <c r="G231" s="208"/>
      <c r="H231" s="208"/>
      <c r="I231" s="208"/>
      <c r="J231" s="208"/>
      <c r="K231" s="208"/>
      <c r="L231" s="208"/>
      <c r="M231" s="223"/>
    </row>
    <row r="232" spans="1:13" ht="30" customHeight="1">
      <c r="A232" s="21" t="s">
        <v>77</v>
      </c>
      <c r="B232" s="213">
        <f>B210</f>
        <v>0</v>
      </c>
      <c r="C232" s="47">
        <v>550</v>
      </c>
      <c r="D232" s="22" t="s">
        <v>31</v>
      </c>
      <c r="E232" s="84">
        <f>E213</f>
        <v>840</v>
      </c>
      <c r="F232" s="84">
        <f>E232*C232</f>
        <v>462000</v>
      </c>
      <c r="G232" s="83"/>
      <c r="H232" s="83">
        <f>INT(G232*C232)</f>
        <v>0</v>
      </c>
      <c r="I232" s="83"/>
      <c r="J232" s="83">
        <f aca="true" t="shared" si="69" ref="J232:J237">INT(I232*C232)</f>
        <v>0</v>
      </c>
      <c r="K232" s="84">
        <f>E232+G232+I232</f>
        <v>840</v>
      </c>
      <c r="L232" s="84">
        <f>F232+H232+J232</f>
        <v>462000</v>
      </c>
      <c r="M232" s="61"/>
    </row>
    <row r="233" spans="1:13" ht="30" customHeight="1">
      <c r="A233" s="21" t="s">
        <v>78</v>
      </c>
      <c r="B233" s="45" t="s">
        <v>46</v>
      </c>
      <c r="C233" s="47">
        <v>100</v>
      </c>
      <c r="D233" s="22" t="s">
        <v>32</v>
      </c>
      <c r="E233" s="84">
        <f>E214</f>
        <v>40</v>
      </c>
      <c r="F233" s="84">
        <f>E233*C233</f>
        <v>4000</v>
      </c>
      <c r="G233" s="83"/>
      <c r="H233" s="83">
        <f>INT(G233*C233)</f>
        <v>0</v>
      </c>
      <c r="I233" s="83"/>
      <c r="J233" s="83">
        <f t="shared" si="69"/>
        <v>0</v>
      </c>
      <c r="K233" s="84">
        <f aca="true" t="shared" si="70" ref="K233:K241">E233+G233+I233</f>
        <v>40</v>
      </c>
      <c r="L233" s="84">
        <f aca="true" t="shared" si="71" ref="L233:L244">F233+H233+J233</f>
        <v>4000</v>
      </c>
      <c r="M233" s="61"/>
    </row>
    <row r="234" spans="1:13" ht="30" customHeight="1">
      <c r="A234" s="21" t="s">
        <v>202</v>
      </c>
      <c r="B234" s="45">
        <f>B212</f>
        <v>0</v>
      </c>
      <c r="C234" s="47">
        <v>0.2</v>
      </c>
      <c r="D234" s="22" t="s">
        <v>33</v>
      </c>
      <c r="E234" s="84">
        <f>E215</f>
        <v>170000</v>
      </c>
      <c r="F234" s="84">
        <f>E234*C234</f>
        <v>34000</v>
      </c>
      <c r="G234" s="83"/>
      <c r="H234" s="83">
        <f>INT(G234*C234)</f>
        <v>0</v>
      </c>
      <c r="I234" s="83"/>
      <c r="J234" s="83">
        <f t="shared" si="69"/>
        <v>0</v>
      </c>
      <c r="K234" s="84">
        <f t="shared" si="70"/>
        <v>170000</v>
      </c>
      <c r="L234" s="84">
        <f t="shared" si="71"/>
        <v>34000</v>
      </c>
      <c r="M234" s="62"/>
    </row>
    <row r="235" spans="1:13" ht="30" customHeight="1">
      <c r="A235" s="21" t="s">
        <v>15</v>
      </c>
      <c r="B235" s="22"/>
      <c r="C235" s="71">
        <v>0.076</v>
      </c>
      <c r="D235" s="22" t="s">
        <v>16</v>
      </c>
      <c r="E235" s="83"/>
      <c r="F235" s="83">
        <f>INT(E235*C235)</f>
        <v>0</v>
      </c>
      <c r="G235" s="46">
        <f aca="true" t="shared" si="72" ref="G235:G241">G216</f>
        <v>105826</v>
      </c>
      <c r="H235" s="84">
        <f aca="true" t="shared" si="73" ref="H235:H241">G235*C235</f>
        <v>8042.776</v>
      </c>
      <c r="I235" s="83"/>
      <c r="J235" s="83">
        <f t="shared" si="69"/>
        <v>0</v>
      </c>
      <c r="K235" s="84">
        <f t="shared" si="70"/>
        <v>105826</v>
      </c>
      <c r="L235" s="84">
        <f t="shared" si="71"/>
        <v>8042.776</v>
      </c>
      <c r="M235" s="43"/>
    </row>
    <row r="236" spans="1:13" ht="30" customHeight="1">
      <c r="A236" s="21" t="s">
        <v>17</v>
      </c>
      <c r="B236" s="22"/>
      <c r="C236" s="71">
        <v>0.151</v>
      </c>
      <c r="D236" s="22" t="s">
        <v>16</v>
      </c>
      <c r="E236" s="83"/>
      <c r="F236" s="83">
        <f>INT(E236*C236)</f>
        <v>0</v>
      </c>
      <c r="G236" s="46">
        <f t="shared" si="72"/>
        <v>102334</v>
      </c>
      <c r="H236" s="84">
        <f t="shared" si="73"/>
        <v>15452.434</v>
      </c>
      <c r="I236" s="83"/>
      <c r="J236" s="83">
        <f t="shared" si="69"/>
        <v>0</v>
      </c>
      <c r="K236" s="84">
        <f t="shared" si="70"/>
        <v>102334</v>
      </c>
      <c r="L236" s="84">
        <f t="shared" si="71"/>
        <v>15452.434</v>
      </c>
      <c r="M236" s="24"/>
    </row>
    <row r="237" spans="1:13" ht="30" customHeight="1">
      <c r="A237" s="21" t="s">
        <v>18</v>
      </c>
      <c r="B237" s="22"/>
      <c r="C237" s="71">
        <v>0.335</v>
      </c>
      <c r="D237" s="22" t="s">
        <v>16</v>
      </c>
      <c r="E237" s="83"/>
      <c r="F237" s="83">
        <f>INT(E237*C237)</f>
        <v>0</v>
      </c>
      <c r="G237" s="46">
        <f t="shared" si="72"/>
        <v>84166</v>
      </c>
      <c r="H237" s="84">
        <f t="shared" si="73"/>
        <v>28195.61</v>
      </c>
      <c r="I237" s="83"/>
      <c r="J237" s="83">
        <f t="shared" si="69"/>
        <v>0</v>
      </c>
      <c r="K237" s="84">
        <f t="shared" si="70"/>
        <v>84166</v>
      </c>
      <c r="L237" s="84">
        <f t="shared" si="71"/>
        <v>28195.61</v>
      </c>
      <c r="M237" s="24"/>
    </row>
    <row r="238" spans="1:13" ht="30" customHeight="1">
      <c r="A238" s="21" t="s">
        <v>34</v>
      </c>
      <c r="B238" s="22" t="s">
        <v>47</v>
      </c>
      <c r="C238" s="71">
        <v>0.461</v>
      </c>
      <c r="D238" s="22" t="s">
        <v>30</v>
      </c>
      <c r="E238" s="84">
        <f>E219</f>
        <v>11166</v>
      </c>
      <c r="F238" s="84">
        <f>E238*C238</f>
        <v>5147.526</v>
      </c>
      <c r="G238" s="84">
        <f t="shared" si="72"/>
        <v>18695</v>
      </c>
      <c r="H238" s="84">
        <f t="shared" si="73"/>
        <v>8618.395</v>
      </c>
      <c r="I238" s="84">
        <f>I219</f>
        <v>71731</v>
      </c>
      <c r="J238" s="84">
        <f>INT(I238*C238)</f>
        <v>33067</v>
      </c>
      <c r="K238" s="84">
        <f t="shared" si="70"/>
        <v>101592</v>
      </c>
      <c r="L238" s="84">
        <f t="shared" si="71"/>
        <v>46832.921</v>
      </c>
      <c r="M238" s="24"/>
    </row>
    <row r="239" spans="1:13" ht="30" customHeight="1">
      <c r="A239" s="21" t="s">
        <v>35</v>
      </c>
      <c r="B239" s="22" t="s">
        <v>36</v>
      </c>
      <c r="C239" s="71">
        <v>0.461</v>
      </c>
      <c r="D239" s="22" t="s">
        <v>30</v>
      </c>
      <c r="E239" s="84">
        <f>E220</f>
        <v>8898</v>
      </c>
      <c r="F239" s="84">
        <f>E239*C239</f>
        <v>4101.978</v>
      </c>
      <c r="G239" s="84">
        <f t="shared" si="72"/>
        <v>21911</v>
      </c>
      <c r="H239" s="84">
        <f t="shared" si="73"/>
        <v>10100.971</v>
      </c>
      <c r="I239" s="84">
        <f>I220</f>
        <v>10362</v>
      </c>
      <c r="J239" s="84">
        <f>INT(I239*C239)</f>
        <v>4776</v>
      </c>
      <c r="K239" s="84">
        <f t="shared" si="70"/>
        <v>41171</v>
      </c>
      <c r="L239" s="84">
        <f t="shared" si="71"/>
        <v>18978.949</v>
      </c>
      <c r="M239" s="24"/>
    </row>
    <row r="240" spans="1:13" ht="30" customHeight="1">
      <c r="A240" s="21" t="s">
        <v>45</v>
      </c>
      <c r="B240" s="22" t="s">
        <v>37</v>
      </c>
      <c r="C240" s="71">
        <v>0.461</v>
      </c>
      <c r="D240" s="22" t="s">
        <v>30</v>
      </c>
      <c r="E240" s="84">
        <f>E221</f>
        <v>16052</v>
      </c>
      <c r="F240" s="84">
        <f>E240*C240</f>
        <v>7399.972000000001</v>
      </c>
      <c r="G240" s="84">
        <f t="shared" si="72"/>
        <v>21911</v>
      </c>
      <c r="H240" s="84">
        <f t="shared" si="73"/>
        <v>10100.971</v>
      </c>
      <c r="I240" s="84">
        <f>I221</f>
        <v>6117</v>
      </c>
      <c r="J240" s="84">
        <f>INT(I240*C240)</f>
        <v>2819</v>
      </c>
      <c r="K240" s="84">
        <f t="shared" si="70"/>
        <v>44080</v>
      </c>
      <c r="L240" s="84">
        <f t="shared" si="71"/>
        <v>20319.943</v>
      </c>
      <c r="M240" s="24"/>
    </row>
    <row r="241" spans="1:13" ht="30" customHeight="1">
      <c r="A241" s="21" t="s">
        <v>38</v>
      </c>
      <c r="B241" s="22" t="s">
        <v>39</v>
      </c>
      <c r="C241" s="71">
        <v>0.728</v>
      </c>
      <c r="D241" s="22" t="s">
        <v>30</v>
      </c>
      <c r="E241" s="84">
        <f>E222</f>
        <v>17578</v>
      </c>
      <c r="F241" s="84">
        <f>E241*C241</f>
        <v>12796.784</v>
      </c>
      <c r="G241" s="84">
        <f t="shared" si="72"/>
        <v>21911</v>
      </c>
      <c r="H241" s="84">
        <f t="shared" si="73"/>
        <v>15951.207999999999</v>
      </c>
      <c r="I241" s="84">
        <f>I222</f>
        <v>7823</v>
      </c>
      <c r="J241" s="84">
        <f>INT(I241*C241)</f>
        <v>5695</v>
      </c>
      <c r="K241" s="84">
        <f t="shared" si="70"/>
        <v>47312</v>
      </c>
      <c r="L241" s="84">
        <f t="shared" si="71"/>
        <v>34442.992</v>
      </c>
      <c r="M241" s="24"/>
    </row>
    <row r="242" spans="1:13" ht="30" customHeight="1">
      <c r="A242" s="21" t="s">
        <v>40</v>
      </c>
      <c r="B242" s="22" t="s">
        <v>41</v>
      </c>
      <c r="C242" s="71">
        <v>0.461</v>
      </c>
      <c r="D242" s="22" t="s">
        <v>30</v>
      </c>
      <c r="E242" s="83"/>
      <c r="F242" s="84">
        <f>E242*C242</f>
        <v>0</v>
      </c>
      <c r="G242" s="83"/>
      <c r="H242" s="83">
        <f>INT(G242*C242)</f>
        <v>0</v>
      </c>
      <c r="I242" s="84">
        <v>77</v>
      </c>
      <c r="J242" s="84">
        <f>INT(I242*C242)</f>
        <v>35</v>
      </c>
      <c r="K242" s="84">
        <f>E242+G242+I242</f>
        <v>77</v>
      </c>
      <c r="L242" s="84">
        <f t="shared" si="71"/>
        <v>35</v>
      </c>
      <c r="M242" s="24"/>
    </row>
    <row r="243" spans="1:13" ht="30" customHeight="1">
      <c r="A243" s="25" t="s">
        <v>19</v>
      </c>
      <c r="B243" s="26" t="s">
        <v>20</v>
      </c>
      <c r="C243" s="53">
        <v>1</v>
      </c>
      <c r="D243" s="26" t="s">
        <v>21</v>
      </c>
      <c r="E243" s="82"/>
      <c r="F243" s="84">
        <f>INT(SUM(F232:F242)*0.03)</f>
        <v>15883</v>
      </c>
      <c r="G243" s="82"/>
      <c r="H243" s="82">
        <v>0</v>
      </c>
      <c r="I243" s="92"/>
      <c r="J243" s="92">
        <v>0</v>
      </c>
      <c r="K243" s="92"/>
      <c r="L243" s="84">
        <f t="shared" si="71"/>
        <v>15883</v>
      </c>
      <c r="M243" s="28"/>
    </row>
    <row r="244" spans="1:13" ht="30" customHeight="1">
      <c r="A244" s="25" t="s">
        <v>42</v>
      </c>
      <c r="B244" s="26" t="s">
        <v>43</v>
      </c>
      <c r="C244" s="53">
        <v>1</v>
      </c>
      <c r="D244" s="26" t="s">
        <v>21</v>
      </c>
      <c r="E244" s="82"/>
      <c r="F244" s="82">
        <f>INT(SUM(H232:H242)*0.02)</f>
        <v>1929</v>
      </c>
      <c r="G244" s="82"/>
      <c r="H244" s="84">
        <v>0</v>
      </c>
      <c r="I244" s="92"/>
      <c r="J244" s="92">
        <v>0</v>
      </c>
      <c r="K244" s="92"/>
      <c r="L244" s="84">
        <f t="shared" si="71"/>
        <v>1929</v>
      </c>
      <c r="M244" s="28"/>
    </row>
    <row r="245" spans="1:13" ht="30" customHeight="1">
      <c r="A245" s="25" t="s">
        <v>76</v>
      </c>
      <c r="B245" s="74" t="s">
        <v>23</v>
      </c>
      <c r="C245" s="53">
        <v>1</v>
      </c>
      <c r="D245" s="26" t="s">
        <v>58</v>
      </c>
      <c r="E245" s="82"/>
      <c r="F245" s="82">
        <f>'참고자료-안정화재'!F51</f>
        <v>50344</v>
      </c>
      <c r="G245" s="82"/>
      <c r="H245" s="82">
        <f>'참고자료-안정화재'!H51</f>
        <v>79045</v>
      </c>
      <c r="I245" s="82"/>
      <c r="J245" s="82">
        <f>'참고자료-안정화재'!J51</f>
        <v>712</v>
      </c>
      <c r="K245" s="82"/>
      <c r="L245" s="84">
        <f>F245+H245+J245</f>
        <v>130101</v>
      </c>
      <c r="M245" s="146" t="s">
        <v>131</v>
      </c>
    </row>
    <row r="246" spans="1:13" ht="30" customHeight="1">
      <c r="A246" s="25" t="s">
        <v>49</v>
      </c>
      <c r="B246" s="26"/>
      <c r="C246" s="53"/>
      <c r="D246" s="26"/>
      <c r="E246" s="82"/>
      <c r="F246" s="92">
        <f>SUM(F232:F245)</f>
        <v>597602.26</v>
      </c>
      <c r="G246" s="125"/>
      <c r="H246" s="92">
        <f>SUM(H232:H245)</f>
        <v>175507.365</v>
      </c>
      <c r="I246" s="125"/>
      <c r="J246" s="92">
        <f>SUM(J232:J245)</f>
        <v>47104</v>
      </c>
      <c r="K246" s="125"/>
      <c r="L246" s="92">
        <f>SUM(L232:L245)</f>
        <v>820213.625</v>
      </c>
      <c r="M246" s="28"/>
    </row>
    <row r="247" spans="1:13" ht="30" customHeight="1">
      <c r="A247" s="25"/>
      <c r="B247" s="26"/>
      <c r="C247" s="53"/>
      <c r="D247" s="26"/>
      <c r="E247" s="82"/>
      <c r="F247" s="92"/>
      <c r="G247" s="125"/>
      <c r="H247" s="92"/>
      <c r="I247" s="125"/>
      <c r="J247" s="92"/>
      <c r="K247" s="125"/>
      <c r="L247" s="92"/>
      <c r="M247" s="28"/>
    </row>
    <row r="248" spans="1:13" ht="30" customHeight="1">
      <c r="A248" s="25"/>
      <c r="B248" s="26"/>
      <c r="C248" s="53"/>
      <c r="D248" s="26"/>
      <c r="E248" s="82"/>
      <c r="F248" s="92"/>
      <c r="G248" s="125"/>
      <c r="H248" s="92"/>
      <c r="I248" s="125"/>
      <c r="J248" s="92"/>
      <c r="K248" s="125"/>
      <c r="L248" s="92"/>
      <c r="M248" s="28"/>
    </row>
    <row r="249" spans="1:13" ht="30" customHeight="1">
      <c r="A249" s="25"/>
      <c r="B249" s="26"/>
      <c r="C249" s="53"/>
      <c r="D249" s="26"/>
      <c r="E249" s="82"/>
      <c r="F249" s="82"/>
      <c r="G249" s="82"/>
      <c r="H249" s="82"/>
      <c r="I249" s="224"/>
      <c r="J249" s="224"/>
      <c r="K249" s="224"/>
      <c r="L249" s="82"/>
      <c r="M249" s="28"/>
    </row>
    <row r="250" spans="1:13" ht="30" customHeight="1">
      <c r="A250" s="215" t="s">
        <v>216</v>
      </c>
      <c r="B250" s="215"/>
      <c r="C250" s="46"/>
      <c r="D250" s="22"/>
      <c r="E250" s="83"/>
      <c r="F250" s="83"/>
      <c r="G250" s="83"/>
      <c r="H250" s="83"/>
      <c r="I250" s="83"/>
      <c r="J250" s="83"/>
      <c r="K250" s="83"/>
      <c r="L250" s="83"/>
      <c r="M250" s="216"/>
    </row>
    <row r="251" spans="1:13" ht="30" customHeight="1">
      <c r="A251" s="22" t="s">
        <v>77</v>
      </c>
      <c r="B251" s="213">
        <f>B211</f>
        <v>0</v>
      </c>
      <c r="C251" s="47">
        <v>770</v>
      </c>
      <c r="D251" s="22" t="s">
        <v>31</v>
      </c>
      <c r="E251" s="84">
        <f>E213</f>
        <v>840</v>
      </c>
      <c r="F251" s="84">
        <f aca="true" t="shared" si="74" ref="F251:F261">INT(E251*C251)</f>
        <v>646800</v>
      </c>
      <c r="G251" s="83"/>
      <c r="H251" s="83">
        <f aca="true" t="shared" si="75" ref="H251:H261">INT(G251*C251)</f>
        <v>0</v>
      </c>
      <c r="I251" s="83"/>
      <c r="J251" s="83">
        <f aca="true" t="shared" si="76" ref="J251:J256">INT(I251*C251)</f>
        <v>0</v>
      </c>
      <c r="K251" s="84">
        <f aca="true" t="shared" si="77" ref="K251:K261">E251+G251+I251</f>
        <v>840</v>
      </c>
      <c r="L251" s="84">
        <f aca="true" t="shared" si="78" ref="L251:L263">+J251+H251+F251</f>
        <v>646800</v>
      </c>
      <c r="M251" s="218"/>
    </row>
    <row r="252" spans="1:13" ht="30" customHeight="1">
      <c r="A252" s="22" t="s">
        <v>78</v>
      </c>
      <c r="B252" s="45" t="s">
        <v>46</v>
      </c>
      <c r="C252" s="47">
        <v>140</v>
      </c>
      <c r="D252" s="22" t="s">
        <v>32</v>
      </c>
      <c r="E252" s="84">
        <f>E214</f>
        <v>40</v>
      </c>
      <c r="F252" s="84">
        <f t="shared" si="74"/>
        <v>5600</v>
      </c>
      <c r="G252" s="83"/>
      <c r="H252" s="83">
        <f t="shared" si="75"/>
        <v>0</v>
      </c>
      <c r="I252" s="83"/>
      <c r="J252" s="83">
        <f t="shared" si="76"/>
        <v>0</v>
      </c>
      <c r="K252" s="84">
        <f t="shared" si="77"/>
        <v>40</v>
      </c>
      <c r="L252" s="84">
        <f t="shared" si="78"/>
        <v>5600</v>
      </c>
      <c r="M252" s="218"/>
    </row>
    <row r="253" spans="1:13" ht="30" customHeight="1">
      <c r="A253" s="22" t="s">
        <v>202</v>
      </c>
      <c r="B253" s="45" t="str">
        <f>B213</f>
        <v>HI - 그린</v>
      </c>
      <c r="C253" s="47">
        <v>0.2</v>
      </c>
      <c r="D253" s="22" t="s">
        <v>33</v>
      </c>
      <c r="E253" s="84">
        <f>E215</f>
        <v>170000</v>
      </c>
      <c r="F253" s="84">
        <f t="shared" si="74"/>
        <v>34000</v>
      </c>
      <c r="G253" s="83"/>
      <c r="H253" s="83">
        <f t="shared" si="75"/>
        <v>0</v>
      </c>
      <c r="I253" s="83"/>
      <c r="J253" s="83">
        <f t="shared" si="76"/>
        <v>0</v>
      </c>
      <c r="K253" s="84">
        <f t="shared" si="77"/>
        <v>170000</v>
      </c>
      <c r="L253" s="84">
        <f t="shared" si="78"/>
        <v>34000</v>
      </c>
      <c r="M253" s="219"/>
    </row>
    <row r="254" spans="1:13" ht="30" customHeight="1">
      <c r="A254" s="22" t="s">
        <v>15</v>
      </c>
      <c r="B254" s="22"/>
      <c r="C254" s="71">
        <v>0.106</v>
      </c>
      <c r="D254" s="22" t="s">
        <v>16</v>
      </c>
      <c r="E254" s="83"/>
      <c r="F254" s="83">
        <f t="shared" si="74"/>
        <v>0</v>
      </c>
      <c r="G254" s="46">
        <f aca="true" t="shared" si="79" ref="G254:G260">G216</f>
        <v>105826</v>
      </c>
      <c r="H254" s="84">
        <f t="shared" si="75"/>
        <v>11217</v>
      </c>
      <c r="I254" s="83"/>
      <c r="J254" s="83">
        <f t="shared" si="76"/>
        <v>0</v>
      </c>
      <c r="K254" s="84">
        <f t="shared" si="77"/>
        <v>105826</v>
      </c>
      <c r="L254" s="84">
        <f t="shared" si="78"/>
        <v>11217</v>
      </c>
      <c r="M254" s="220"/>
    </row>
    <row r="255" spans="1:13" ht="30" customHeight="1">
      <c r="A255" s="22" t="s">
        <v>17</v>
      </c>
      <c r="B255" s="22"/>
      <c r="C255" s="71">
        <v>0.211</v>
      </c>
      <c r="D255" s="22" t="s">
        <v>16</v>
      </c>
      <c r="E255" s="83"/>
      <c r="F255" s="83">
        <f t="shared" si="74"/>
        <v>0</v>
      </c>
      <c r="G255" s="46">
        <f t="shared" si="79"/>
        <v>102334</v>
      </c>
      <c r="H255" s="84">
        <f t="shared" si="75"/>
        <v>21592</v>
      </c>
      <c r="I255" s="83"/>
      <c r="J255" s="83">
        <f t="shared" si="76"/>
        <v>0</v>
      </c>
      <c r="K255" s="84">
        <f t="shared" si="77"/>
        <v>102334</v>
      </c>
      <c r="L255" s="84">
        <f t="shared" si="78"/>
        <v>21592</v>
      </c>
      <c r="M255" s="221"/>
    </row>
    <row r="256" spans="1:13" ht="30" customHeight="1">
      <c r="A256" s="22" t="s">
        <v>18</v>
      </c>
      <c r="B256" s="22"/>
      <c r="C256" s="71">
        <v>0.447</v>
      </c>
      <c r="D256" s="22" t="s">
        <v>16</v>
      </c>
      <c r="E256" s="83"/>
      <c r="F256" s="83">
        <f t="shared" si="74"/>
        <v>0</v>
      </c>
      <c r="G256" s="46">
        <f t="shared" si="79"/>
        <v>84166</v>
      </c>
      <c r="H256" s="84">
        <f t="shared" si="75"/>
        <v>37622</v>
      </c>
      <c r="I256" s="83"/>
      <c r="J256" s="83">
        <f t="shared" si="76"/>
        <v>0</v>
      </c>
      <c r="K256" s="84">
        <f t="shared" si="77"/>
        <v>84166</v>
      </c>
      <c r="L256" s="84">
        <f t="shared" si="78"/>
        <v>37622</v>
      </c>
      <c r="M256" s="221"/>
    </row>
    <row r="257" spans="1:13" ht="30" customHeight="1">
      <c r="A257" s="22" t="s">
        <v>34</v>
      </c>
      <c r="B257" s="22" t="s">
        <v>47</v>
      </c>
      <c r="C257" s="71">
        <v>0.645</v>
      </c>
      <c r="D257" s="22" t="s">
        <v>30</v>
      </c>
      <c r="E257" s="84">
        <f>E219</f>
        <v>11166</v>
      </c>
      <c r="F257" s="84">
        <f t="shared" si="74"/>
        <v>7202</v>
      </c>
      <c r="G257" s="84">
        <f t="shared" si="79"/>
        <v>18695</v>
      </c>
      <c r="H257" s="84">
        <f t="shared" si="75"/>
        <v>12058</v>
      </c>
      <c r="I257" s="84">
        <f>I219</f>
        <v>71731</v>
      </c>
      <c r="J257" s="84">
        <f>INT(I257*C257)</f>
        <v>46266</v>
      </c>
      <c r="K257" s="84">
        <f t="shared" si="77"/>
        <v>101592</v>
      </c>
      <c r="L257" s="84">
        <f t="shared" si="78"/>
        <v>65526</v>
      </c>
      <c r="M257" s="221"/>
    </row>
    <row r="258" spans="1:13" ht="30" customHeight="1">
      <c r="A258" s="22" t="s">
        <v>35</v>
      </c>
      <c r="B258" s="22" t="s">
        <v>36</v>
      </c>
      <c r="C258" s="71">
        <v>0.645</v>
      </c>
      <c r="D258" s="22" t="s">
        <v>30</v>
      </c>
      <c r="E258" s="84">
        <f>E220</f>
        <v>8898</v>
      </c>
      <c r="F258" s="84">
        <f t="shared" si="74"/>
        <v>5739</v>
      </c>
      <c r="G258" s="84">
        <f t="shared" si="79"/>
        <v>21911</v>
      </c>
      <c r="H258" s="84">
        <f t="shared" si="75"/>
        <v>14132</v>
      </c>
      <c r="I258" s="84">
        <f>I220</f>
        <v>10362</v>
      </c>
      <c r="J258" s="84">
        <f>INT(I258*C258)</f>
        <v>6683</v>
      </c>
      <c r="K258" s="84">
        <f t="shared" si="77"/>
        <v>41171</v>
      </c>
      <c r="L258" s="84">
        <f t="shared" si="78"/>
        <v>26554</v>
      </c>
      <c r="M258" s="221"/>
    </row>
    <row r="259" spans="1:13" ht="30" customHeight="1">
      <c r="A259" s="22" t="s">
        <v>45</v>
      </c>
      <c r="B259" s="22" t="s">
        <v>37</v>
      </c>
      <c r="C259" s="71">
        <v>0.645</v>
      </c>
      <c r="D259" s="22" t="s">
        <v>30</v>
      </c>
      <c r="E259" s="84">
        <f>E221</f>
        <v>16052</v>
      </c>
      <c r="F259" s="84">
        <f t="shared" si="74"/>
        <v>10353</v>
      </c>
      <c r="G259" s="84">
        <f t="shared" si="79"/>
        <v>21911</v>
      </c>
      <c r="H259" s="84">
        <f t="shared" si="75"/>
        <v>14132</v>
      </c>
      <c r="I259" s="84">
        <f>I221</f>
        <v>6117</v>
      </c>
      <c r="J259" s="84">
        <f>INT(I259*C259)</f>
        <v>3945</v>
      </c>
      <c r="K259" s="84">
        <f t="shared" si="77"/>
        <v>44080</v>
      </c>
      <c r="L259" s="84">
        <f t="shared" si="78"/>
        <v>28430</v>
      </c>
      <c r="M259" s="221"/>
    </row>
    <row r="260" spans="1:13" ht="30" customHeight="1">
      <c r="A260" s="22" t="s">
        <v>38</v>
      </c>
      <c r="B260" s="22" t="s">
        <v>39</v>
      </c>
      <c r="C260" s="71">
        <v>0.902</v>
      </c>
      <c r="D260" s="22" t="s">
        <v>30</v>
      </c>
      <c r="E260" s="84">
        <f>E222</f>
        <v>17578</v>
      </c>
      <c r="F260" s="84">
        <f t="shared" si="74"/>
        <v>15855</v>
      </c>
      <c r="G260" s="84">
        <f t="shared" si="79"/>
        <v>21911</v>
      </c>
      <c r="H260" s="84">
        <f t="shared" si="75"/>
        <v>19763</v>
      </c>
      <c r="I260" s="84">
        <f>I222</f>
        <v>7823</v>
      </c>
      <c r="J260" s="84">
        <f>INT(I260*C260)</f>
        <v>7056</v>
      </c>
      <c r="K260" s="84">
        <f t="shared" si="77"/>
        <v>47312</v>
      </c>
      <c r="L260" s="84">
        <f t="shared" si="78"/>
        <v>42674</v>
      </c>
      <c r="M260" s="221"/>
    </row>
    <row r="261" spans="1:13" ht="30" customHeight="1">
      <c r="A261" s="22" t="s">
        <v>40</v>
      </c>
      <c r="B261" s="22" t="s">
        <v>41</v>
      </c>
      <c r="C261" s="71">
        <v>0.645</v>
      </c>
      <c r="D261" s="22" t="s">
        <v>30</v>
      </c>
      <c r="E261" s="83"/>
      <c r="F261" s="83">
        <f t="shared" si="74"/>
        <v>0</v>
      </c>
      <c r="G261" s="83"/>
      <c r="H261" s="83">
        <f t="shared" si="75"/>
        <v>0</v>
      </c>
      <c r="I261" s="84">
        <v>77</v>
      </c>
      <c r="J261" s="84">
        <f>INT(I261*C261)</f>
        <v>49</v>
      </c>
      <c r="K261" s="84">
        <f t="shared" si="77"/>
        <v>77</v>
      </c>
      <c r="L261" s="84">
        <f t="shared" si="78"/>
        <v>49</v>
      </c>
      <c r="M261" s="221"/>
    </row>
    <row r="262" spans="1:13" ht="30" customHeight="1">
      <c r="A262" s="26" t="s">
        <v>19</v>
      </c>
      <c r="B262" s="26" t="s">
        <v>20</v>
      </c>
      <c r="C262" s="53">
        <v>1</v>
      </c>
      <c r="D262" s="26" t="s">
        <v>21</v>
      </c>
      <c r="E262" s="82"/>
      <c r="F262" s="84">
        <f>INT(SUM(F251:F261)*0.03)</f>
        <v>21766</v>
      </c>
      <c r="G262" s="82"/>
      <c r="H262" s="82"/>
      <c r="I262" s="92"/>
      <c r="J262" s="92"/>
      <c r="K262" s="92"/>
      <c r="L262" s="84">
        <f t="shared" si="78"/>
        <v>21766</v>
      </c>
      <c r="M262" s="226"/>
    </row>
    <row r="263" spans="1:13" ht="30" customHeight="1">
      <c r="A263" s="26" t="s">
        <v>42</v>
      </c>
      <c r="B263" s="26" t="s">
        <v>43</v>
      </c>
      <c r="C263" s="53">
        <v>1</v>
      </c>
      <c r="D263" s="26" t="s">
        <v>21</v>
      </c>
      <c r="E263" s="82"/>
      <c r="F263" s="82">
        <f>INT(SUM(H251:H261)*0.02)</f>
        <v>2610</v>
      </c>
      <c r="G263" s="82"/>
      <c r="H263" s="84"/>
      <c r="I263" s="92"/>
      <c r="J263" s="92"/>
      <c r="K263" s="92"/>
      <c r="L263" s="84">
        <f t="shared" si="78"/>
        <v>2610</v>
      </c>
      <c r="M263" s="226"/>
    </row>
    <row r="264" spans="1:13" ht="30" customHeight="1">
      <c r="A264" s="74" t="s">
        <v>65</v>
      </c>
      <c r="B264" s="74" t="s">
        <v>60</v>
      </c>
      <c r="C264" s="53">
        <v>1</v>
      </c>
      <c r="D264" s="26" t="s">
        <v>58</v>
      </c>
      <c r="E264" s="82"/>
      <c r="F264" s="92">
        <f>'참고자료-안정화재'!F29</f>
        <v>13390</v>
      </c>
      <c r="G264" s="123"/>
      <c r="H264" s="92">
        <f>'참고자료-안정화재'!H29</f>
        <v>41577</v>
      </c>
      <c r="I264" s="123"/>
      <c r="J264" s="92">
        <f>'참고자료-안정화재'!J29</f>
        <v>0</v>
      </c>
      <c r="K264" s="123"/>
      <c r="L264" s="84">
        <f>+J264+H264+F264</f>
        <v>54967</v>
      </c>
      <c r="M264" s="146" t="s">
        <v>131</v>
      </c>
    </row>
    <row r="265" spans="1:13" ht="30" customHeight="1">
      <c r="A265" s="26" t="s">
        <v>49</v>
      </c>
      <c r="B265" s="26"/>
      <c r="C265" s="53"/>
      <c r="D265" s="26"/>
      <c r="E265" s="82"/>
      <c r="F265" s="92">
        <f>SUM(F251:F264)</f>
        <v>763315</v>
      </c>
      <c r="G265" s="82"/>
      <c r="H265" s="92">
        <f>SUM(H251:H264)</f>
        <v>172093</v>
      </c>
      <c r="I265" s="92"/>
      <c r="J265" s="92">
        <f>SUM(J251:J264)</f>
        <v>63999</v>
      </c>
      <c r="K265" s="92"/>
      <c r="L265" s="92">
        <f>SUM(L251:L264)</f>
        <v>999407</v>
      </c>
      <c r="M265" s="226"/>
    </row>
    <row r="266" spans="1:13" ht="30" customHeight="1">
      <c r="A266" s="26"/>
      <c r="B266" s="26"/>
      <c r="C266" s="53"/>
      <c r="D266" s="26"/>
      <c r="E266" s="82"/>
      <c r="F266" s="92"/>
      <c r="G266" s="82"/>
      <c r="H266" s="92"/>
      <c r="I266" s="92"/>
      <c r="J266" s="92"/>
      <c r="K266" s="92"/>
      <c r="L266" s="92"/>
      <c r="M266" s="226"/>
    </row>
    <row r="267" spans="1:13" ht="30" customHeight="1">
      <c r="A267" s="26"/>
      <c r="B267" s="26"/>
      <c r="C267" s="53"/>
      <c r="D267" s="26"/>
      <c r="E267" s="82"/>
      <c r="F267" s="92"/>
      <c r="G267" s="82"/>
      <c r="H267" s="92"/>
      <c r="I267" s="92"/>
      <c r="J267" s="92"/>
      <c r="K267" s="92"/>
      <c r="L267" s="92"/>
      <c r="M267" s="226"/>
    </row>
    <row r="268" spans="1:13" ht="30" customHeight="1">
      <c r="A268" s="22"/>
      <c r="B268" s="22"/>
      <c r="C268" s="46"/>
      <c r="D268" s="22"/>
      <c r="E268" s="83"/>
      <c r="F268" s="84"/>
      <c r="G268" s="83"/>
      <c r="H268" s="84"/>
      <c r="I268" s="84"/>
      <c r="J268" s="84"/>
      <c r="K268" s="84"/>
      <c r="L268" s="84"/>
      <c r="M268" s="221"/>
    </row>
    <row r="269" spans="1:13" ht="30" customHeight="1">
      <c r="A269" s="215" t="s">
        <v>154</v>
      </c>
      <c r="B269" s="215"/>
      <c r="C269" s="46"/>
      <c r="D269" s="22"/>
      <c r="E269" s="83"/>
      <c r="F269" s="83"/>
      <c r="G269" s="83"/>
      <c r="H269" s="83"/>
      <c r="I269" s="83"/>
      <c r="J269" s="83"/>
      <c r="K269" s="83"/>
      <c r="L269" s="83"/>
      <c r="M269" s="216"/>
    </row>
    <row r="270" spans="1:13" ht="30" customHeight="1">
      <c r="A270" s="22" t="s">
        <v>77</v>
      </c>
      <c r="B270" s="213">
        <f>B232</f>
        <v>0</v>
      </c>
      <c r="C270" s="47">
        <v>770</v>
      </c>
      <c r="D270" s="22" t="s">
        <v>31</v>
      </c>
      <c r="E270" s="84">
        <f>E232</f>
        <v>840</v>
      </c>
      <c r="F270" s="84">
        <f aca="true" t="shared" si="80" ref="F270:F280">INT(E270*C270)</f>
        <v>646800</v>
      </c>
      <c r="G270" s="83"/>
      <c r="H270" s="83">
        <f aca="true" t="shared" si="81" ref="H270:H280">INT(G270*C270)</f>
        <v>0</v>
      </c>
      <c r="I270" s="83"/>
      <c r="J270" s="83">
        <f aca="true" t="shared" si="82" ref="J270:J275">INT(I270*C270)</f>
        <v>0</v>
      </c>
      <c r="K270" s="84">
        <f aca="true" t="shared" si="83" ref="K270:K280">E270+G270+I270</f>
        <v>840</v>
      </c>
      <c r="L270" s="84">
        <f aca="true" t="shared" si="84" ref="L270:L282">+J270+H270+F270</f>
        <v>646800</v>
      </c>
      <c r="M270" s="218"/>
    </row>
    <row r="271" spans="1:13" ht="30" customHeight="1">
      <c r="A271" s="22" t="s">
        <v>78</v>
      </c>
      <c r="B271" s="45" t="s">
        <v>46</v>
      </c>
      <c r="C271" s="47">
        <v>140</v>
      </c>
      <c r="D271" s="22" t="s">
        <v>32</v>
      </c>
      <c r="E271" s="84">
        <f>E233</f>
        <v>40</v>
      </c>
      <c r="F271" s="84">
        <f t="shared" si="80"/>
        <v>5600</v>
      </c>
      <c r="G271" s="83"/>
      <c r="H271" s="83">
        <f t="shared" si="81"/>
        <v>0</v>
      </c>
      <c r="I271" s="83"/>
      <c r="J271" s="83">
        <f t="shared" si="82"/>
        <v>0</v>
      </c>
      <c r="K271" s="84">
        <f t="shared" si="83"/>
        <v>40</v>
      </c>
      <c r="L271" s="84">
        <f t="shared" si="84"/>
        <v>5600</v>
      </c>
      <c r="M271" s="218"/>
    </row>
    <row r="272" spans="1:13" ht="30" customHeight="1">
      <c r="A272" s="22" t="s">
        <v>202</v>
      </c>
      <c r="B272" s="45">
        <f>B234</f>
        <v>0</v>
      </c>
      <c r="C272" s="47">
        <v>0.2</v>
      </c>
      <c r="D272" s="22" t="s">
        <v>33</v>
      </c>
      <c r="E272" s="84">
        <f>E234</f>
        <v>170000</v>
      </c>
      <c r="F272" s="84">
        <f t="shared" si="80"/>
        <v>34000</v>
      </c>
      <c r="G272" s="83"/>
      <c r="H272" s="83">
        <f t="shared" si="81"/>
        <v>0</v>
      </c>
      <c r="I272" s="83"/>
      <c r="J272" s="83">
        <f t="shared" si="82"/>
        <v>0</v>
      </c>
      <c r="K272" s="84">
        <f t="shared" si="83"/>
        <v>170000</v>
      </c>
      <c r="L272" s="84">
        <f t="shared" si="84"/>
        <v>34000</v>
      </c>
      <c r="M272" s="219"/>
    </row>
    <row r="273" spans="1:13" ht="30" customHeight="1">
      <c r="A273" s="22" t="s">
        <v>15</v>
      </c>
      <c r="B273" s="22"/>
      <c r="C273" s="71">
        <v>0.106</v>
      </c>
      <c r="D273" s="22" t="s">
        <v>16</v>
      </c>
      <c r="E273" s="83"/>
      <c r="F273" s="83">
        <f t="shared" si="80"/>
        <v>0</v>
      </c>
      <c r="G273" s="46">
        <f aca="true" t="shared" si="85" ref="G273:G279">G235</f>
        <v>105826</v>
      </c>
      <c r="H273" s="84">
        <f t="shared" si="81"/>
        <v>11217</v>
      </c>
      <c r="I273" s="83"/>
      <c r="J273" s="83">
        <f t="shared" si="82"/>
        <v>0</v>
      </c>
      <c r="K273" s="84">
        <f t="shared" si="83"/>
        <v>105826</v>
      </c>
      <c r="L273" s="84">
        <f t="shared" si="84"/>
        <v>11217</v>
      </c>
      <c r="M273" s="220"/>
    </row>
    <row r="274" spans="1:13" ht="30" customHeight="1">
      <c r="A274" s="22" t="s">
        <v>17</v>
      </c>
      <c r="B274" s="22"/>
      <c r="C274" s="71">
        <v>0.211</v>
      </c>
      <c r="D274" s="22" t="s">
        <v>16</v>
      </c>
      <c r="E274" s="83"/>
      <c r="F274" s="83">
        <f t="shared" si="80"/>
        <v>0</v>
      </c>
      <c r="G274" s="46">
        <f t="shared" si="85"/>
        <v>102334</v>
      </c>
      <c r="H274" s="84">
        <f t="shared" si="81"/>
        <v>21592</v>
      </c>
      <c r="I274" s="83"/>
      <c r="J274" s="83">
        <f t="shared" si="82"/>
        <v>0</v>
      </c>
      <c r="K274" s="84">
        <f t="shared" si="83"/>
        <v>102334</v>
      </c>
      <c r="L274" s="84">
        <f t="shared" si="84"/>
        <v>21592</v>
      </c>
      <c r="M274" s="221"/>
    </row>
    <row r="275" spans="1:13" ht="30" customHeight="1">
      <c r="A275" s="22" t="s">
        <v>18</v>
      </c>
      <c r="B275" s="22"/>
      <c r="C275" s="71">
        <v>0.447</v>
      </c>
      <c r="D275" s="22" t="s">
        <v>16</v>
      </c>
      <c r="E275" s="83"/>
      <c r="F275" s="83">
        <f t="shared" si="80"/>
        <v>0</v>
      </c>
      <c r="G275" s="46">
        <f t="shared" si="85"/>
        <v>84166</v>
      </c>
      <c r="H275" s="84">
        <f t="shared" si="81"/>
        <v>37622</v>
      </c>
      <c r="I275" s="83"/>
      <c r="J275" s="83">
        <f t="shared" si="82"/>
        <v>0</v>
      </c>
      <c r="K275" s="84">
        <f t="shared" si="83"/>
        <v>84166</v>
      </c>
      <c r="L275" s="84">
        <f t="shared" si="84"/>
        <v>37622</v>
      </c>
      <c r="M275" s="221"/>
    </row>
    <row r="276" spans="1:13" ht="30" customHeight="1">
      <c r="A276" s="22" t="s">
        <v>34</v>
      </c>
      <c r="B276" s="22" t="s">
        <v>47</v>
      </c>
      <c r="C276" s="71">
        <v>0.645</v>
      </c>
      <c r="D276" s="22" t="s">
        <v>30</v>
      </c>
      <c r="E276" s="84">
        <f>E238</f>
        <v>11166</v>
      </c>
      <c r="F276" s="84">
        <f t="shared" si="80"/>
        <v>7202</v>
      </c>
      <c r="G276" s="84">
        <f t="shared" si="85"/>
        <v>18695</v>
      </c>
      <c r="H276" s="84">
        <f t="shared" si="81"/>
        <v>12058</v>
      </c>
      <c r="I276" s="84">
        <f>I238</f>
        <v>71731</v>
      </c>
      <c r="J276" s="84">
        <f>INT(I276*C276)</f>
        <v>46266</v>
      </c>
      <c r="K276" s="84">
        <f t="shared" si="83"/>
        <v>101592</v>
      </c>
      <c r="L276" s="84">
        <f t="shared" si="84"/>
        <v>65526</v>
      </c>
      <c r="M276" s="221"/>
    </row>
    <row r="277" spans="1:13" ht="30" customHeight="1">
      <c r="A277" s="22" t="s">
        <v>35</v>
      </c>
      <c r="B277" s="22" t="s">
        <v>36</v>
      </c>
      <c r="C277" s="71">
        <v>0.645</v>
      </c>
      <c r="D277" s="22" t="s">
        <v>30</v>
      </c>
      <c r="E277" s="84">
        <f>E239</f>
        <v>8898</v>
      </c>
      <c r="F277" s="84">
        <f t="shared" si="80"/>
        <v>5739</v>
      </c>
      <c r="G277" s="84">
        <f t="shared" si="85"/>
        <v>21911</v>
      </c>
      <c r="H277" s="84">
        <f t="shared" si="81"/>
        <v>14132</v>
      </c>
      <c r="I277" s="84">
        <f>I239</f>
        <v>10362</v>
      </c>
      <c r="J277" s="84">
        <f>INT(I277*C277)</f>
        <v>6683</v>
      </c>
      <c r="K277" s="84">
        <f t="shared" si="83"/>
        <v>41171</v>
      </c>
      <c r="L277" s="84">
        <f t="shared" si="84"/>
        <v>26554</v>
      </c>
      <c r="M277" s="221"/>
    </row>
    <row r="278" spans="1:13" ht="30" customHeight="1">
      <c r="A278" s="22" t="s">
        <v>45</v>
      </c>
      <c r="B278" s="22" t="s">
        <v>37</v>
      </c>
      <c r="C278" s="71">
        <v>0.645</v>
      </c>
      <c r="D278" s="22" t="s">
        <v>30</v>
      </c>
      <c r="E278" s="84">
        <f>E240</f>
        <v>16052</v>
      </c>
      <c r="F278" s="84">
        <f t="shared" si="80"/>
        <v>10353</v>
      </c>
      <c r="G278" s="84">
        <f t="shared" si="85"/>
        <v>21911</v>
      </c>
      <c r="H278" s="84">
        <f t="shared" si="81"/>
        <v>14132</v>
      </c>
      <c r="I278" s="84">
        <f>I240</f>
        <v>6117</v>
      </c>
      <c r="J278" s="84">
        <f>INT(I278*C278)</f>
        <v>3945</v>
      </c>
      <c r="K278" s="84">
        <f t="shared" si="83"/>
        <v>44080</v>
      </c>
      <c r="L278" s="84">
        <f t="shared" si="84"/>
        <v>28430</v>
      </c>
      <c r="M278" s="221"/>
    </row>
    <row r="279" spans="1:13" ht="30" customHeight="1">
      <c r="A279" s="22" t="s">
        <v>38</v>
      </c>
      <c r="B279" s="22" t="s">
        <v>39</v>
      </c>
      <c r="C279" s="71">
        <v>0.902</v>
      </c>
      <c r="D279" s="22" t="s">
        <v>30</v>
      </c>
      <c r="E279" s="84">
        <f>E241</f>
        <v>17578</v>
      </c>
      <c r="F279" s="84">
        <f t="shared" si="80"/>
        <v>15855</v>
      </c>
      <c r="G279" s="84">
        <f t="shared" si="85"/>
        <v>21911</v>
      </c>
      <c r="H279" s="84">
        <f t="shared" si="81"/>
        <v>19763</v>
      </c>
      <c r="I279" s="84">
        <f>I241</f>
        <v>7823</v>
      </c>
      <c r="J279" s="84">
        <f>INT(I279*C279)</f>
        <v>7056</v>
      </c>
      <c r="K279" s="84">
        <f t="shared" si="83"/>
        <v>47312</v>
      </c>
      <c r="L279" s="84">
        <f t="shared" si="84"/>
        <v>42674</v>
      </c>
      <c r="M279" s="221"/>
    </row>
    <row r="280" spans="1:13" ht="30" customHeight="1">
      <c r="A280" s="22" t="s">
        <v>40</v>
      </c>
      <c r="B280" s="22" t="s">
        <v>41</v>
      </c>
      <c r="C280" s="71">
        <v>0.645</v>
      </c>
      <c r="D280" s="22" t="s">
        <v>30</v>
      </c>
      <c r="E280" s="83"/>
      <c r="F280" s="83">
        <f t="shared" si="80"/>
        <v>0</v>
      </c>
      <c r="G280" s="83"/>
      <c r="H280" s="83">
        <f t="shared" si="81"/>
        <v>0</v>
      </c>
      <c r="I280" s="84">
        <f>I242</f>
        <v>77</v>
      </c>
      <c r="J280" s="84">
        <f>INT(I280*C280)</f>
        <v>49</v>
      </c>
      <c r="K280" s="84">
        <f t="shared" si="83"/>
        <v>77</v>
      </c>
      <c r="L280" s="84">
        <f t="shared" si="84"/>
        <v>49</v>
      </c>
      <c r="M280" s="221"/>
    </row>
    <row r="281" spans="1:13" ht="30" customHeight="1">
      <c r="A281" s="26" t="s">
        <v>19</v>
      </c>
      <c r="B281" s="26" t="s">
        <v>20</v>
      </c>
      <c r="C281" s="53">
        <v>1</v>
      </c>
      <c r="D281" s="26" t="s">
        <v>21</v>
      </c>
      <c r="E281" s="82"/>
      <c r="F281" s="84">
        <f>INT(SUM(F270:F280)*0.03)</f>
        <v>21766</v>
      </c>
      <c r="G281" s="82"/>
      <c r="H281" s="82"/>
      <c r="I281" s="92"/>
      <c r="J281" s="92"/>
      <c r="K281" s="92"/>
      <c r="L281" s="84">
        <f t="shared" si="84"/>
        <v>21766</v>
      </c>
      <c r="M281" s="226"/>
    </row>
    <row r="282" spans="1:13" ht="30" customHeight="1">
      <c r="A282" s="26" t="s">
        <v>42</v>
      </c>
      <c r="B282" s="26" t="s">
        <v>43</v>
      </c>
      <c r="C282" s="53">
        <v>1</v>
      </c>
      <c r="D282" s="26" t="s">
        <v>21</v>
      </c>
      <c r="E282" s="82"/>
      <c r="F282" s="82">
        <f>INT(SUM(H270:H280)*0.02)</f>
        <v>2610</v>
      </c>
      <c r="G282" s="82"/>
      <c r="H282" s="84"/>
      <c r="I282" s="92"/>
      <c r="J282" s="92"/>
      <c r="K282" s="92"/>
      <c r="L282" s="84">
        <f t="shared" si="84"/>
        <v>2610</v>
      </c>
      <c r="M282" s="226"/>
    </row>
    <row r="283" spans="1:13" ht="30" customHeight="1">
      <c r="A283" s="26" t="s">
        <v>76</v>
      </c>
      <c r="B283" s="74" t="s">
        <v>23</v>
      </c>
      <c r="C283" s="53">
        <v>1</v>
      </c>
      <c r="D283" s="26" t="s">
        <v>58</v>
      </c>
      <c r="E283" s="82"/>
      <c r="F283" s="82">
        <f>'참고자료-안정화재'!F51</f>
        <v>50344</v>
      </c>
      <c r="G283" s="82"/>
      <c r="H283" s="82">
        <f>'참고자료-안정화재'!H51</f>
        <v>79045</v>
      </c>
      <c r="I283" s="82"/>
      <c r="J283" s="82">
        <f>'참고자료-안정화재'!J51</f>
        <v>712</v>
      </c>
      <c r="K283" s="82"/>
      <c r="L283" s="84">
        <f>+J283+H283+F283</f>
        <v>130101</v>
      </c>
      <c r="M283" s="225" t="s">
        <v>131</v>
      </c>
    </row>
    <row r="284" spans="1:13" ht="30" customHeight="1">
      <c r="A284" s="26" t="s">
        <v>49</v>
      </c>
      <c r="B284" s="26"/>
      <c r="C284" s="53"/>
      <c r="D284" s="26"/>
      <c r="E284" s="82"/>
      <c r="F284" s="92">
        <f>SUM(F270:F283)</f>
        <v>800269</v>
      </c>
      <c r="G284" s="82"/>
      <c r="H284" s="92">
        <f>SUM(H270:H283)</f>
        <v>209561</v>
      </c>
      <c r="I284" s="92"/>
      <c r="J284" s="92">
        <f>SUM(J270:J283)</f>
        <v>64711</v>
      </c>
      <c r="K284" s="92"/>
      <c r="L284" s="92">
        <f>SUM(L270:L283)</f>
        <v>1074541</v>
      </c>
      <c r="M284" s="226"/>
    </row>
    <row r="285" spans="1:13" ht="30" customHeight="1">
      <c r="A285" s="26"/>
      <c r="B285" s="26"/>
      <c r="C285" s="53"/>
      <c r="D285" s="26"/>
      <c r="E285" s="82"/>
      <c r="F285" s="92"/>
      <c r="G285" s="82"/>
      <c r="H285" s="92"/>
      <c r="I285" s="92"/>
      <c r="J285" s="92"/>
      <c r="K285" s="92"/>
      <c r="L285" s="92"/>
      <c r="M285" s="226"/>
    </row>
    <row r="286" spans="1:13" ht="30" customHeight="1">
      <c r="A286" s="26"/>
      <c r="B286" s="26"/>
      <c r="C286" s="53"/>
      <c r="D286" s="26"/>
      <c r="E286" s="82"/>
      <c r="F286" s="92"/>
      <c r="G286" s="82"/>
      <c r="H286" s="92"/>
      <c r="I286" s="92"/>
      <c r="J286" s="92"/>
      <c r="K286" s="92"/>
      <c r="L286" s="92"/>
      <c r="M286" s="226"/>
    </row>
    <row r="287" spans="1:13" ht="30" customHeight="1">
      <c r="A287" s="22"/>
      <c r="B287" s="22"/>
      <c r="C287" s="46"/>
      <c r="D287" s="22"/>
      <c r="E287" s="83"/>
      <c r="F287" s="84"/>
      <c r="G287" s="83"/>
      <c r="H287" s="84"/>
      <c r="I287" s="84"/>
      <c r="J287" s="84"/>
      <c r="K287" s="84"/>
      <c r="L287" s="84"/>
      <c r="M287" s="221"/>
    </row>
  </sheetData>
  <sheetProtection/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&amp;L&amp;"굴림,보통"&lt;자연표토복원공법-생태숲복원용&gt;&amp;R&amp;"굴림,보통"&lt;2014년도 상반기&gt;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="70" zoomScaleNormal="75" zoomScaleSheetLayoutView="70" zoomScalePageLayoutView="0" workbookViewId="0" topLeftCell="A1">
      <pane ySplit="2" topLeftCell="A42" activePane="bottomLeft" state="frozen"/>
      <selection pane="topLeft" activeCell="K33" sqref="K33"/>
      <selection pane="bottomLeft" activeCell="E54" sqref="E54"/>
    </sheetView>
  </sheetViews>
  <sheetFormatPr defaultColWidth="9.00390625" defaultRowHeight="14.25"/>
  <cols>
    <col min="1" max="1" width="16.625" style="77" customWidth="1"/>
    <col min="2" max="2" width="19.00390625" style="4" customWidth="1"/>
    <col min="3" max="3" width="12.625" style="78" customWidth="1"/>
    <col min="4" max="4" width="4.625" style="79" customWidth="1"/>
    <col min="5" max="11" width="13.625" style="78" customWidth="1"/>
    <col min="12" max="12" width="13.625" style="4" customWidth="1"/>
    <col min="13" max="13" width="16.00390625" style="4" customWidth="1"/>
    <col min="14" max="16384" width="9.00390625" style="4" customWidth="1"/>
  </cols>
  <sheetData>
    <row r="1" spans="1:24" ht="30" customHeight="1" thickBot="1">
      <c r="A1" s="1" t="s">
        <v>0</v>
      </c>
      <c r="B1" s="1" t="s">
        <v>1</v>
      </c>
      <c r="C1" s="48" t="s">
        <v>2</v>
      </c>
      <c r="D1" s="1" t="s">
        <v>3</v>
      </c>
      <c r="E1" s="128" t="s">
        <v>4</v>
      </c>
      <c r="F1" s="129"/>
      <c r="G1" s="128" t="s">
        <v>5</v>
      </c>
      <c r="H1" s="129"/>
      <c r="I1" s="130" t="s">
        <v>6</v>
      </c>
      <c r="J1" s="131" t="s">
        <v>7</v>
      </c>
      <c r="K1" s="130" t="s">
        <v>8</v>
      </c>
      <c r="L1" s="2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0" customHeight="1" thickBot="1">
      <c r="A2" s="5"/>
      <c r="B2" s="6"/>
      <c r="C2" s="49"/>
      <c r="D2" s="6"/>
      <c r="E2" s="132" t="s">
        <v>11</v>
      </c>
      <c r="F2" s="132" t="s">
        <v>12</v>
      </c>
      <c r="G2" s="132" t="s">
        <v>11</v>
      </c>
      <c r="H2" s="132" t="s">
        <v>12</v>
      </c>
      <c r="I2" s="132" t="s">
        <v>11</v>
      </c>
      <c r="J2" s="132" t="s">
        <v>12</v>
      </c>
      <c r="K2" s="132" t="s">
        <v>11</v>
      </c>
      <c r="L2" s="7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0" customHeight="1">
      <c r="A3" s="8" t="s">
        <v>143</v>
      </c>
      <c r="B3" s="9"/>
      <c r="C3" s="46"/>
      <c r="D3" s="74"/>
      <c r="E3" s="46"/>
      <c r="F3" s="46"/>
      <c r="G3" s="46"/>
      <c r="H3" s="46"/>
      <c r="I3" s="46"/>
      <c r="J3" s="46"/>
      <c r="K3" s="46"/>
      <c r="L3" s="9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0" customHeight="1">
      <c r="A4" s="11" t="s">
        <v>50</v>
      </c>
      <c r="B4" s="74" t="s">
        <v>62</v>
      </c>
      <c r="C4" s="67">
        <v>12</v>
      </c>
      <c r="D4" s="74" t="s">
        <v>63</v>
      </c>
      <c r="E4" s="46">
        <f>등재사항!E17</f>
        <v>800</v>
      </c>
      <c r="F4" s="46">
        <f>INT(E4*C4)</f>
        <v>9600</v>
      </c>
      <c r="G4" s="46"/>
      <c r="H4" s="46">
        <f>INT(G4*C4)</f>
        <v>0</v>
      </c>
      <c r="I4" s="46"/>
      <c r="J4" s="46">
        <f>INT(I4*C4)</f>
        <v>0</v>
      </c>
      <c r="K4" s="46">
        <f>I4+G4+E4</f>
        <v>800</v>
      </c>
      <c r="L4" s="9">
        <f>F4+H4+J4</f>
        <v>9600</v>
      </c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0" customHeight="1">
      <c r="A5" s="11" t="s">
        <v>51</v>
      </c>
      <c r="B5" s="74" t="s">
        <v>66</v>
      </c>
      <c r="C5" s="68">
        <v>5</v>
      </c>
      <c r="D5" s="74" t="s">
        <v>52</v>
      </c>
      <c r="E5" s="46">
        <f>등재사항!E23</f>
        <v>200</v>
      </c>
      <c r="F5" s="46">
        <f>INT(E5*C5)</f>
        <v>1000</v>
      </c>
      <c r="G5" s="46"/>
      <c r="H5" s="46">
        <f>INT(G5*C5)</f>
        <v>0</v>
      </c>
      <c r="I5" s="46"/>
      <c r="J5" s="46">
        <f>INT(I5*C5)</f>
        <v>0</v>
      </c>
      <c r="K5" s="46">
        <f>I5+G5+E5</f>
        <v>200</v>
      </c>
      <c r="L5" s="9">
        <f>F5+H5+J5</f>
        <v>1000</v>
      </c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0" customHeight="1">
      <c r="A6" s="11" t="s">
        <v>53</v>
      </c>
      <c r="B6" s="22"/>
      <c r="C6" s="72">
        <v>0.1</v>
      </c>
      <c r="D6" s="74" t="s">
        <v>54</v>
      </c>
      <c r="E6" s="46"/>
      <c r="F6" s="46">
        <f>INT(E6*C6)</f>
        <v>0</v>
      </c>
      <c r="G6" s="46">
        <f>단가산출근거!C19</f>
        <v>102334</v>
      </c>
      <c r="H6" s="46">
        <f>INT(G6*C6)</f>
        <v>10233</v>
      </c>
      <c r="I6" s="46"/>
      <c r="J6" s="46">
        <f>INT(I6*C6)</f>
        <v>0</v>
      </c>
      <c r="K6" s="46">
        <f>I6+G6+E6</f>
        <v>102334</v>
      </c>
      <c r="L6" s="9">
        <f>F6+H6+J6</f>
        <v>10233</v>
      </c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0" customHeight="1">
      <c r="A7" s="11" t="s">
        <v>55</v>
      </c>
      <c r="B7" s="74"/>
      <c r="C7" s="72">
        <v>0.2</v>
      </c>
      <c r="D7" s="74" t="s">
        <v>54</v>
      </c>
      <c r="E7" s="46"/>
      <c r="F7" s="46">
        <f>INT(E7*C7)</f>
        <v>0</v>
      </c>
      <c r="G7" s="46">
        <f>단가산출근거!C20</f>
        <v>84166</v>
      </c>
      <c r="H7" s="46">
        <f>INT(G7*C7)</f>
        <v>16833</v>
      </c>
      <c r="I7" s="46"/>
      <c r="J7" s="46">
        <f>INT(I7*C7)</f>
        <v>0</v>
      </c>
      <c r="K7" s="46">
        <f>I7+G7+E7</f>
        <v>84166</v>
      </c>
      <c r="L7" s="9">
        <f>F7+H7+J7</f>
        <v>16833</v>
      </c>
      <c r="M7" s="4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0" customHeight="1">
      <c r="A8" s="11" t="s">
        <v>56</v>
      </c>
      <c r="B8" s="74" t="s">
        <v>57</v>
      </c>
      <c r="C8" s="67">
        <v>1</v>
      </c>
      <c r="D8" s="74" t="s">
        <v>58</v>
      </c>
      <c r="E8" s="46"/>
      <c r="F8" s="46">
        <f>INT(SUM(F4:F5)*0.03)</f>
        <v>318</v>
      </c>
      <c r="G8" s="46"/>
      <c r="H8" s="46"/>
      <c r="I8" s="46"/>
      <c r="J8" s="46">
        <f>INT(I8*C8)</f>
        <v>0</v>
      </c>
      <c r="K8" s="46"/>
      <c r="L8" s="9">
        <f>F8+H8+J8</f>
        <v>318</v>
      </c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0" customHeight="1">
      <c r="A9" s="11" t="s">
        <v>49</v>
      </c>
      <c r="B9" s="74"/>
      <c r="C9" s="46"/>
      <c r="D9" s="74"/>
      <c r="E9" s="46"/>
      <c r="F9" s="46">
        <f>SUM(F4:F8)</f>
        <v>10918</v>
      </c>
      <c r="G9" s="46"/>
      <c r="H9" s="46">
        <f>SUM(H4:H8)</f>
        <v>27066</v>
      </c>
      <c r="I9" s="46"/>
      <c r="J9" s="46">
        <f>SUM(J4:J8)</f>
        <v>0</v>
      </c>
      <c r="K9" s="46"/>
      <c r="L9" s="9">
        <f>SUM(L4:L8)</f>
        <v>37984</v>
      </c>
      <c r="M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0" customHeight="1">
      <c r="A10" s="63"/>
      <c r="B10" s="64"/>
      <c r="C10" s="65"/>
      <c r="D10" s="64"/>
      <c r="E10" s="65"/>
      <c r="F10" s="65"/>
      <c r="G10" s="65"/>
      <c r="H10" s="65"/>
      <c r="I10" s="65"/>
      <c r="J10" s="65"/>
      <c r="K10" s="65"/>
      <c r="L10" s="64"/>
      <c r="M10" s="6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0" customHeight="1">
      <c r="A11" s="63"/>
      <c r="B11" s="64"/>
      <c r="C11" s="65"/>
      <c r="D11" s="64"/>
      <c r="E11" s="65"/>
      <c r="F11" s="65"/>
      <c r="G11" s="65"/>
      <c r="H11" s="65"/>
      <c r="I11" s="65"/>
      <c r="J11" s="65"/>
      <c r="K11" s="65"/>
      <c r="L11" s="64"/>
      <c r="M11" s="6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63"/>
      <c r="B12" s="64"/>
      <c r="C12" s="65"/>
      <c r="D12" s="64"/>
      <c r="E12" s="65"/>
      <c r="F12" s="65"/>
      <c r="G12" s="65"/>
      <c r="H12" s="65"/>
      <c r="I12" s="65"/>
      <c r="J12" s="65"/>
      <c r="K12" s="65"/>
      <c r="L12" s="64"/>
      <c r="M12" s="6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 customHeight="1">
      <c r="A13" s="63"/>
      <c r="B13" s="64"/>
      <c r="C13" s="65"/>
      <c r="D13" s="64"/>
      <c r="E13" s="65"/>
      <c r="F13" s="65"/>
      <c r="G13" s="65"/>
      <c r="H13" s="65"/>
      <c r="I13" s="65"/>
      <c r="J13" s="65"/>
      <c r="K13" s="65"/>
      <c r="L13" s="64"/>
      <c r="M13" s="6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 customHeight="1">
      <c r="A14" s="63"/>
      <c r="B14" s="64"/>
      <c r="C14" s="65"/>
      <c r="D14" s="64"/>
      <c r="E14" s="65"/>
      <c r="F14" s="65"/>
      <c r="G14" s="65"/>
      <c r="H14" s="65"/>
      <c r="I14" s="65"/>
      <c r="J14" s="65"/>
      <c r="K14" s="65"/>
      <c r="L14" s="64"/>
      <c r="M14" s="6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" customHeight="1">
      <c r="A15" s="63"/>
      <c r="B15" s="64"/>
      <c r="C15" s="65"/>
      <c r="D15" s="64"/>
      <c r="E15" s="65"/>
      <c r="F15" s="65"/>
      <c r="G15" s="65"/>
      <c r="H15" s="65"/>
      <c r="I15" s="65"/>
      <c r="J15" s="65"/>
      <c r="K15" s="65"/>
      <c r="L15" s="64"/>
      <c r="M15" s="6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0" customHeight="1">
      <c r="A16" s="63"/>
      <c r="B16" s="64"/>
      <c r="C16" s="65"/>
      <c r="D16" s="64"/>
      <c r="E16" s="65"/>
      <c r="F16" s="65"/>
      <c r="G16" s="65"/>
      <c r="H16" s="65"/>
      <c r="I16" s="65"/>
      <c r="J16" s="65"/>
      <c r="K16" s="65"/>
      <c r="L16" s="64"/>
      <c r="M16" s="6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0" customHeight="1">
      <c r="A17" s="63"/>
      <c r="B17" s="64"/>
      <c r="C17" s="65"/>
      <c r="D17" s="64"/>
      <c r="E17" s="65"/>
      <c r="F17" s="65"/>
      <c r="G17" s="65"/>
      <c r="H17" s="65"/>
      <c r="I17" s="65"/>
      <c r="J17" s="65"/>
      <c r="K17" s="65"/>
      <c r="L17" s="64"/>
      <c r="M17" s="6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0" customHeight="1">
      <c r="A18" s="63"/>
      <c r="B18" s="64"/>
      <c r="C18" s="65"/>
      <c r="D18" s="64"/>
      <c r="E18" s="65"/>
      <c r="F18" s="65"/>
      <c r="G18" s="65"/>
      <c r="H18" s="65"/>
      <c r="I18" s="65"/>
      <c r="J18" s="65"/>
      <c r="K18" s="65"/>
      <c r="L18" s="64"/>
      <c r="M18" s="6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0" customHeight="1">
      <c r="A19" s="63"/>
      <c r="B19" s="64"/>
      <c r="C19" s="65"/>
      <c r="D19" s="64"/>
      <c r="E19" s="65"/>
      <c r="F19" s="65"/>
      <c r="G19" s="65"/>
      <c r="H19" s="65"/>
      <c r="I19" s="65"/>
      <c r="J19" s="65"/>
      <c r="K19" s="65"/>
      <c r="L19" s="64"/>
      <c r="M19" s="6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0" customHeight="1">
      <c r="A20" s="63"/>
      <c r="B20" s="64"/>
      <c r="C20" s="65"/>
      <c r="D20" s="64"/>
      <c r="E20" s="65"/>
      <c r="F20" s="65"/>
      <c r="G20" s="65"/>
      <c r="H20" s="65"/>
      <c r="I20" s="65"/>
      <c r="J20" s="65"/>
      <c r="K20" s="65"/>
      <c r="L20" s="64"/>
      <c r="M20" s="6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0" customHeight="1">
      <c r="A21" s="63"/>
      <c r="B21" s="64"/>
      <c r="C21" s="65"/>
      <c r="D21" s="64"/>
      <c r="E21" s="65"/>
      <c r="F21" s="65"/>
      <c r="G21" s="65"/>
      <c r="H21" s="65"/>
      <c r="I21" s="65"/>
      <c r="J21" s="65"/>
      <c r="K21" s="65"/>
      <c r="L21" s="64"/>
      <c r="M21" s="6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30" customHeight="1">
      <c r="A22" s="44" t="s">
        <v>142</v>
      </c>
      <c r="B22" s="75"/>
      <c r="C22" s="50"/>
      <c r="D22" s="74"/>
      <c r="E22" s="46"/>
      <c r="F22" s="46"/>
      <c r="G22" s="46"/>
      <c r="H22" s="46"/>
      <c r="I22" s="46"/>
      <c r="J22" s="46"/>
      <c r="K22" s="46"/>
      <c r="L22" s="9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0" customHeight="1">
      <c r="A23" s="11" t="s">
        <v>59</v>
      </c>
      <c r="B23" s="74" t="s">
        <v>60</v>
      </c>
      <c r="C23" s="46">
        <v>12</v>
      </c>
      <c r="D23" s="74" t="s">
        <v>63</v>
      </c>
      <c r="E23" s="46">
        <f>등재사항!E20</f>
        <v>1000</v>
      </c>
      <c r="F23" s="46">
        <f>INT(E23*C23)</f>
        <v>12000</v>
      </c>
      <c r="G23" s="46"/>
      <c r="H23" s="46">
        <f aca="true" t="shared" si="0" ref="H23:H28">INT(G23*C23)</f>
        <v>0</v>
      </c>
      <c r="I23" s="46"/>
      <c r="J23" s="46">
        <f aca="true" t="shared" si="1" ref="J23:J28">INT(I23*C23)</f>
        <v>0</v>
      </c>
      <c r="K23" s="46">
        <f>I23+G23+E23</f>
        <v>1000</v>
      </c>
      <c r="L23" s="9">
        <f aca="true" t="shared" si="2" ref="L23:L28">+J23+H23+F23</f>
        <v>12000</v>
      </c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0" customHeight="1">
      <c r="A24" s="11" t="s">
        <v>51</v>
      </c>
      <c r="B24" s="74" t="s">
        <v>66</v>
      </c>
      <c r="C24" s="46">
        <v>5</v>
      </c>
      <c r="D24" s="74" t="s">
        <v>52</v>
      </c>
      <c r="E24" s="46">
        <f>등재사항!E23</f>
        <v>200</v>
      </c>
      <c r="F24" s="46">
        <f>INT(E24*C24)</f>
        <v>1000</v>
      </c>
      <c r="G24" s="46"/>
      <c r="H24" s="46">
        <f t="shared" si="0"/>
        <v>0</v>
      </c>
      <c r="I24" s="46"/>
      <c r="J24" s="46">
        <f t="shared" si="1"/>
        <v>0</v>
      </c>
      <c r="K24" s="46">
        <f>I24+G24+E24</f>
        <v>200</v>
      </c>
      <c r="L24" s="9">
        <f t="shared" si="2"/>
        <v>1000</v>
      </c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30" customHeight="1">
      <c r="A25" s="11" t="s">
        <v>61</v>
      </c>
      <c r="B25" s="74"/>
      <c r="C25" s="73">
        <v>0.02</v>
      </c>
      <c r="D25" s="74" t="s">
        <v>54</v>
      </c>
      <c r="E25" s="46"/>
      <c r="F25" s="46">
        <f>INT(E25*C25)</f>
        <v>0</v>
      </c>
      <c r="G25" s="46">
        <f>단가산출근거!C17</f>
        <v>105826</v>
      </c>
      <c r="H25" s="46">
        <f t="shared" si="0"/>
        <v>2116</v>
      </c>
      <c r="I25" s="46"/>
      <c r="J25" s="46">
        <f t="shared" si="1"/>
        <v>0</v>
      </c>
      <c r="K25" s="46">
        <f>I25+G25+E25</f>
        <v>105826</v>
      </c>
      <c r="L25" s="9">
        <f t="shared" si="2"/>
        <v>2116</v>
      </c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0" customHeight="1">
      <c r="A26" s="11" t="s">
        <v>53</v>
      </c>
      <c r="B26" s="74"/>
      <c r="C26" s="73">
        <v>0.18</v>
      </c>
      <c r="D26" s="74" t="s">
        <v>54</v>
      </c>
      <c r="E26" s="46"/>
      <c r="F26" s="46">
        <f>INT(E26*C26)</f>
        <v>0</v>
      </c>
      <c r="G26" s="46">
        <f>G6</f>
        <v>102334</v>
      </c>
      <c r="H26" s="46">
        <f t="shared" si="0"/>
        <v>18420</v>
      </c>
      <c r="I26" s="46"/>
      <c r="J26" s="46">
        <f t="shared" si="1"/>
        <v>0</v>
      </c>
      <c r="K26" s="46">
        <f>I26+G26+E26</f>
        <v>102334</v>
      </c>
      <c r="L26" s="9">
        <f t="shared" si="2"/>
        <v>18420</v>
      </c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0" customHeight="1">
      <c r="A27" s="11" t="s">
        <v>55</v>
      </c>
      <c r="B27" s="74"/>
      <c r="C27" s="73">
        <v>0.25</v>
      </c>
      <c r="D27" s="74" t="s">
        <v>54</v>
      </c>
      <c r="E27" s="46"/>
      <c r="F27" s="46">
        <f>INT(E27*C27)</f>
        <v>0</v>
      </c>
      <c r="G27" s="46">
        <f>G7</f>
        <v>84166</v>
      </c>
      <c r="H27" s="46">
        <f t="shared" si="0"/>
        <v>21041</v>
      </c>
      <c r="I27" s="46"/>
      <c r="J27" s="46">
        <f t="shared" si="1"/>
        <v>0</v>
      </c>
      <c r="K27" s="46">
        <f>I27+G27+E27</f>
        <v>84166</v>
      </c>
      <c r="L27" s="9">
        <f t="shared" si="2"/>
        <v>21041</v>
      </c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30" customHeight="1">
      <c r="A28" s="11" t="s">
        <v>56</v>
      </c>
      <c r="B28" s="74" t="s">
        <v>57</v>
      </c>
      <c r="C28" s="60">
        <v>1</v>
      </c>
      <c r="D28" s="74" t="s">
        <v>58</v>
      </c>
      <c r="E28" s="46"/>
      <c r="F28" s="46">
        <f>INT(SUM(F23:F24)*0.03)</f>
        <v>390</v>
      </c>
      <c r="G28" s="46"/>
      <c r="H28" s="46">
        <f t="shared" si="0"/>
        <v>0</v>
      </c>
      <c r="I28" s="46"/>
      <c r="J28" s="46">
        <f t="shared" si="1"/>
        <v>0</v>
      </c>
      <c r="K28" s="46"/>
      <c r="L28" s="9">
        <f t="shared" si="2"/>
        <v>390</v>
      </c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0" customHeight="1">
      <c r="A29" s="11" t="s">
        <v>49</v>
      </c>
      <c r="B29" s="74"/>
      <c r="C29" s="46"/>
      <c r="D29" s="74"/>
      <c r="E29" s="46"/>
      <c r="F29" s="46">
        <f>SUM(F23:F28)</f>
        <v>13390</v>
      </c>
      <c r="G29" s="46"/>
      <c r="H29" s="46">
        <f>SUM(H23:H28)</f>
        <v>41577</v>
      </c>
      <c r="I29" s="46"/>
      <c r="J29" s="46">
        <f>SUM(J23:J28)</f>
        <v>0</v>
      </c>
      <c r="K29" s="46"/>
      <c r="L29" s="9">
        <f>SUM(L23:L28)</f>
        <v>54967</v>
      </c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0" customHeight="1">
      <c r="A30" s="11"/>
      <c r="B30" s="74"/>
      <c r="C30" s="46"/>
      <c r="D30" s="74"/>
      <c r="E30" s="46"/>
      <c r="F30" s="46"/>
      <c r="G30" s="46"/>
      <c r="H30" s="46"/>
      <c r="I30" s="46"/>
      <c r="J30" s="46"/>
      <c r="K30" s="46"/>
      <c r="L30" s="9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30" customHeight="1">
      <c r="A31" s="11"/>
      <c r="B31" s="74"/>
      <c r="C31" s="46"/>
      <c r="D31" s="74"/>
      <c r="E31" s="46"/>
      <c r="F31" s="46"/>
      <c r="G31" s="46"/>
      <c r="H31" s="46"/>
      <c r="I31" s="46"/>
      <c r="J31" s="46"/>
      <c r="K31" s="46"/>
      <c r="L31" s="9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0" customHeight="1">
      <c r="A32" s="11"/>
      <c r="B32" s="74"/>
      <c r="C32" s="46"/>
      <c r="D32" s="74"/>
      <c r="E32" s="46"/>
      <c r="F32" s="46"/>
      <c r="G32" s="46"/>
      <c r="H32" s="46"/>
      <c r="I32" s="46"/>
      <c r="J32" s="46"/>
      <c r="K32" s="46"/>
      <c r="L32" s="9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30" customHeight="1">
      <c r="A33" s="11"/>
      <c r="B33" s="74"/>
      <c r="C33" s="46"/>
      <c r="D33" s="74"/>
      <c r="E33" s="46"/>
      <c r="F33" s="46"/>
      <c r="G33" s="46"/>
      <c r="H33" s="46"/>
      <c r="I33" s="46"/>
      <c r="J33" s="46"/>
      <c r="K33" s="46"/>
      <c r="L33" s="9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30" customHeight="1">
      <c r="A34" s="11"/>
      <c r="B34" s="74"/>
      <c r="C34" s="46"/>
      <c r="D34" s="74"/>
      <c r="E34" s="46"/>
      <c r="F34" s="46"/>
      <c r="G34" s="46"/>
      <c r="H34" s="46"/>
      <c r="I34" s="46"/>
      <c r="J34" s="46"/>
      <c r="K34" s="46"/>
      <c r="L34" s="9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30" customHeight="1">
      <c r="A35" s="11"/>
      <c r="B35" s="74"/>
      <c r="C35" s="46"/>
      <c r="D35" s="74"/>
      <c r="E35" s="46"/>
      <c r="F35" s="46"/>
      <c r="G35" s="46"/>
      <c r="H35" s="46"/>
      <c r="I35" s="46"/>
      <c r="J35" s="46"/>
      <c r="K35" s="46"/>
      <c r="L35" s="9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30" customHeight="1">
      <c r="A36" s="11"/>
      <c r="B36" s="74"/>
      <c r="C36" s="46"/>
      <c r="D36" s="74"/>
      <c r="E36" s="46"/>
      <c r="F36" s="46"/>
      <c r="G36" s="46"/>
      <c r="H36" s="46"/>
      <c r="I36" s="46"/>
      <c r="J36" s="46"/>
      <c r="K36" s="46"/>
      <c r="L36" s="9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30" customHeight="1">
      <c r="A37" s="11"/>
      <c r="B37" s="74"/>
      <c r="C37" s="46"/>
      <c r="D37" s="74"/>
      <c r="E37" s="46"/>
      <c r="F37" s="46"/>
      <c r="G37" s="46"/>
      <c r="H37" s="46"/>
      <c r="I37" s="46"/>
      <c r="J37" s="46"/>
      <c r="K37" s="46"/>
      <c r="L37" s="9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30" customHeight="1">
      <c r="A38" s="11"/>
      <c r="B38" s="74"/>
      <c r="C38" s="46"/>
      <c r="D38" s="74"/>
      <c r="E38" s="46"/>
      <c r="F38" s="46"/>
      <c r="G38" s="46"/>
      <c r="H38" s="46"/>
      <c r="I38" s="46"/>
      <c r="J38" s="46"/>
      <c r="K38" s="46"/>
      <c r="L38" s="9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30" customHeight="1">
      <c r="A39" s="11"/>
      <c r="B39" s="74"/>
      <c r="C39" s="46"/>
      <c r="D39" s="74"/>
      <c r="E39" s="46"/>
      <c r="F39" s="46"/>
      <c r="G39" s="46"/>
      <c r="H39" s="46"/>
      <c r="I39" s="46"/>
      <c r="J39" s="46"/>
      <c r="K39" s="46"/>
      <c r="L39" s="9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30" customHeight="1" thickBot="1">
      <c r="A40" s="12"/>
      <c r="B40" s="76"/>
      <c r="C40" s="51"/>
      <c r="D40" s="76"/>
      <c r="E40" s="51"/>
      <c r="F40" s="51"/>
      <c r="G40" s="51"/>
      <c r="H40" s="51"/>
      <c r="I40" s="51"/>
      <c r="J40" s="51"/>
      <c r="K40" s="51"/>
      <c r="L40" s="13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30" customHeight="1">
      <c r="A41" s="8" t="s">
        <v>178</v>
      </c>
      <c r="B41" s="15"/>
      <c r="C41" s="52"/>
      <c r="D41" s="80"/>
      <c r="E41" s="46"/>
      <c r="F41" s="52"/>
      <c r="G41" s="52"/>
      <c r="H41" s="52"/>
      <c r="I41" s="52"/>
      <c r="J41" s="52"/>
      <c r="K41" s="52"/>
      <c r="L41" s="15"/>
      <c r="M41" s="1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30" customHeight="1">
      <c r="A42" s="11" t="s">
        <v>22</v>
      </c>
      <c r="B42" s="74" t="s">
        <v>23</v>
      </c>
      <c r="C42" s="46">
        <v>13</v>
      </c>
      <c r="D42" s="74" t="s">
        <v>13</v>
      </c>
      <c r="E42" s="46">
        <f>등재사항!E18</f>
        <v>3260</v>
      </c>
      <c r="F42" s="201">
        <f>INT(E42*C42)</f>
        <v>42380</v>
      </c>
      <c r="G42" s="201"/>
      <c r="H42" s="201">
        <f aca="true" t="shared" si="3" ref="H42:H50">INT(G42*C42)</f>
        <v>0</v>
      </c>
      <c r="I42" s="201"/>
      <c r="J42" s="201">
        <f aca="true" t="shared" si="4" ref="J42:J49">INT(I42*C42)</f>
        <v>0</v>
      </c>
      <c r="K42" s="201">
        <f aca="true" t="shared" si="5" ref="K42:K49">E42+G42+I42</f>
        <v>3260</v>
      </c>
      <c r="L42" s="202">
        <f aca="true" t="shared" si="6" ref="L42:L50">+J42+H42+F42</f>
        <v>42380</v>
      </c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30" customHeight="1">
      <c r="A43" s="11" t="s">
        <v>179</v>
      </c>
      <c r="B43" s="74" t="s">
        <v>165</v>
      </c>
      <c r="C43" s="203">
        <v>2.3</v>
      </c>
      <c r="D43" s="74" t="s">
        <v>14</v>
      </c>
      <c r="E43" s="46">
        <f>등재사항!E21</f>
        <v>450</v>
      </c>
      <c r="F43" s="201">
        <f aca="true" t="shared" si="7" ref="F43:F50">INT(E43*C43)</f>
        <v>1035</v>
      </c>
      <c r="G43" s="201"/>
      <c r="H43" s="201">
        <f t="shared" si="3"/>
        <v>0</v>
      </c>
      <c r="I43" s="201"/>
      <c r="J43" s="201">
        <f t="shared" si="4"/>
        <v>0</v>
      </c>
      <c r="K43" s="201">
        <f t="shared" si="5"/>
        <v>450</v>
      </c>
      <c r="L43" s="202">
        <f t="shared" si="6"/>
        <v>1035</v>
      </c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30" customHeight="1">
      <c r="A44" s="11" t="s">
        <v>180</v>
      </c>
      <c r="B44" s="74" t="s">
        <v>168</v>
      </c>
      <c r="C44" s="46">
        <v>5</v>
      </c>
      <c r="D44" s="74" t="s">
        <v>14</v>
      </c>
      <c r="E44" s="46">
        <f>등재사항!E22</f>
        <v>400</v>
      </c>
      <c r="F44" s="201">
        <f t="shared" si="7"/>
        <v>2000</v>
      </c>
      <c r="G44" s="201"/>
      <c r="H44" s="201">
        <f t="shared" si="3"/>
        <v>0</v>
      </c>
      <c r="I44" s="201"/>
      <c r="J44" s="201">
        <f t="shared" si="4"/>
        <v>0</v>
      </c>
      <c r="K44" s="201">
        <f t="shared" si="5"/>
        <v>400</v>
      </c>
      <c r="L44" s="202">
        <f t="shared" si="6"/>
        <v>2000</v>
      </c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30" customHeight="1">
      <c r="A45" s="11" t="s">
        <v>24</v>
      </c>
      <c r="B45" s="74" t="s">
        <v>181</v>
      </c>
      <c r="C45" s="46">
        <v>13</v>
      </c>
      <c r="D45" s="74" t="s">
        <v>26</v>
      </c>
      <c r="E45" s="46">
        <f>등재사항!E19</f>
        <v>150</v>
      </c>
      <c r="F45" s="201">
        <f t="shared" si="7"/>
        <v>1950</v>
      </c>
      <c r="G45" s="201"/>
      <c r="H45" s="201">
        <f t="shared" si="3"/>
        <v>0</v>
      </c>
      <c r="I45" s="201"/>
      <c r="J45" s="201">
        <f t="shared" si="4"/>
        <v>0</v>
      </c>
      <c r="K45" s="201">
        <f t="shared" si="5"/>
        <v>150</v>
      </c>
      <c r="L45" s="202">
        <f t="shared" si="6"/>
        <v>1950</v>
      </c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30" customHeight="1">
      <c r="A46" s="11" t="s">
        <v>15</v>
      </c>
      <c r="B46" s="74"/>
      <c r="C46" s="73">
        <v>0.05</v>
      </c>
      <c r="D46" s="74" t="s">
        <v>16</v>
      </c>
      <c r="E46" s="46"/>
      <c r="F46" s="201">
        <f t="shared" si="7"/>
        <v>0</v>
      </c>
      <c r="G46" s="201">
        <f>단가산출근거!C17</f>
        <v>105826</v>
      </c>
      <c r="H46" s="201">
        <f t="shared" si="3"/>
        <v>5291</v>
      </c>
      <c r="I46" s="201"/>
      <c r="J46" s="201">
        <f t="shared" si="4"/>
        <v>0</v>
      </c>
      <c r="K46" s="201">
        <f t="shared" si="5"/>
        <v>105826</v>
      </c>
      <c r="L46" s="202">
        <f t="shared" si="6"/>
        <v>5291</v>
      </c>
      <c r="M46" s="4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30" customHeight="1">
      <c r="A47" s="11" t="s">
        <v>27</v>
      </c>
      <c r="B47" s="74"/>
      <c r="C47" s="73">
        <v>0.12</v>
      </c>
      <c r="D47" s="74" t="s">
        <v>16</v>
      </c>
      <c r="E47" s="46"/>
      <c r="F47" s="201">
        <f t="shared" si="7"/>
        <v>0</v>
      </c>
      <c r="G47" s="201">
        <f>단가산출근거!C18</f>
        <v>96782</v>
      </c>
      <c r="H47" s="201">
        <f t="shared" si="3"/>
        <v>11613</v>
      </c>
      <c r="I47" s="201"/>
      <c r="J47" s="201">
        <f t="shared" si="4"/>
        <v>0</v>
      </c>
      <c r="K47" s="201">
        <f t="shared" si="5"/>
        <v>96782</v>
      </c>
      <c r="L47" s="202">
        <f t="shared" si="6"/>
        <v>11613</v>
      </c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30" customHeight="1">
      <c r="A48" s="11" t="s">
        <v>17</v>
      </c>
      <c r="B48" s="74"/>
      <c r="C48" s="73">
        <v>0.26</v>
      </c>
      <c r="D48" s="74" t="s">
        <v>16</v>
      </c>
      <c r="E48" s="46"/>
      <c r="F48" s="201">
        <f t="shared" si="7"/>
        <v>0</v>
      </c>
      <c r="G48" s="201">
        <f>단가산출근거!C19</f>
        <v>102334</v>
      </c>
      <c r="H48" s="201">
        <f t="shared" si="3"/>
        <v>26606</v>
      </c>
      <c r="I48" s="201"/>
      <c r="J48" s="201">
        <f t="shared" si="4"/>
        <v>0</v>
      </c>
      <c r="K48" s="201">
        <f t="shared" si="5"/>
        <v>102334</v>
      </c>
      <c r="L48" s="202">
        <f t="shared" si="6"/>
        <v>26606</v>
      </c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30" customHeight="1">
      <c r="A49" s="11" t="s">
        <v>18</v>
      </c>
      <c r="B49" s="74"/>
      <c r="C49" s="73">
        <v>0.38</v>
      </c>
      <c r="D49" s="74" t="s">
        <v>16</v>
      </c>
      <c r="E49" s="46"/>
      <c r="F49" s="201">
        <f t="shared" si="7"/>
        <v>0</v>
      </c>
      <c r="G49" s="201">
        <f>단가산출근거!C20</f>
        <v>84166</v>
      </c>
      <c r="H49" s="201">
        <f t="shared" si="3"/>
        <v>31983</v>
      </c>
      <c r="I49" s="201"/>
      <c r="J49" s="201">
        <f t="shared" si="4"/>
        <v>0</v>
      </c>
      <c r="K49" s="201">
        <f t="shared" si="5"/>
        <v>84166</v>
      </c>
      <c r="L49" s="202">
        <f t="shared" si="6"/>
        <v>31983</v>
      </c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30" customHeight="1">
      <c r="A50" s="11" t="s">
        <v>28</v>
      </c>
      <c r="B50" s="74" t="s">
        <v>29</v>
      </c>
      <c r="C50" s="73">
        <v>0.19</v>
      </c>
      <c r="D50" s="74" t="s">
        <v>30</v>
      </c>
      <c r="E50" s="46">
        <f>단가산출근거!E56</f>
        <v>15684</v>
      </c>
      <c r="F50" s="201">
        <f t="shared" si="7"/>
        <v>2979</v>
      </c>
      <c r="G50" s="201">
        <f>단가산출근거!E57</f>
        <v>18695</v>
      </c>
      <c r="H50" s="201">
        <f t="shared" si="3"/>
        <v>3552</v>
      </c>
      <c r="I50" s="201">
        <f>단가산출근거!E54</f>
        <v>3752</v>
      </c>
      <c r="J50" s="201">
        <f>INT(I50*C50)</f>
        <v>712</v>
      </c>
      <c r="K50" s="201">
        <f>E50+G50+I50</f>
        <v>38131</v>
      </c>
      <c r="L50" s="202">
        <f t="shared" si="6"/>
        <v>7243</v>
      </c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30" customHeight="1">
      <c r="A51" s="11" t="s">
        <v>49</v>
      </c>
      <c r="B51" s="74"/>
      <c r="C51" s="46"/>
      <c r="D51" s="74"/>
      <c r="E51" s="46"/>
      <c r="F51" s="46">
        <f>SUM(F42:F50)</f>
        <v>50344</v>
      </c>
      <c r="G51" s="46"/>
      <c r="H51" s="46">
        <f>SUM(H42:H50)</f>
        <v>79045</v>
      </c>
      <c r="I51" s="46"/>
      <c r="J51" s="46">
        <f>SUM(J42:J50)</f>
        <v>712</v>
      </c>
      <c r="K51" s="46"/>
      <c r="L51" s="9">
        <f>SUM(L42:L50)</f>
        <v>130101</v>
      </c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30" customHeight="1">
      <c r="A52" s="11"/>
      <c r="B52" s="74"/>
      <c r="C52" s="46"/>
      <c r="D52" s="74"/>
      <c r="E52" s="46"/>
      <c r="F52" s="46"/>
      <c r="G52" s="46"/>
      <c r="H52" s="46"/>
      <c r="I52" s="46"/>
      <c r="J52" s="46"/>
      <c r="K52" s="46"/>
      <c r="L52" s="9"/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30" customHeight="1">
      <c r="A53" s="11"/>
      <c r="B53" s="74"/>
      <c r="C53" s="46"/>
      <c r="D53" s="74"/>
      <c r="E53" s="46"/>
      <c r="F53" s="46"/>
      <c r="G53" s="46"/>
      <c r="H53" s="46"/>
      <c r="I53" s="46"/>
      <c r="J53" s="46"/>
      <c r="K53" s="46"/>
      <c r="L53" s="9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30" customHeight="1">
      <c r="A54" s="11"/>
      <c r="B54" s="74"/>
      <c r="C54" s="46"/>
      <c r="D54" s="74"/>
      <c r="E54" s="46"/>
      <c r="F54" s="46"/>
      <c r="G54" s="46"/>
      <c r="H54" s="46"/>
      <c r="I54" s="46"/>
      <c r="J54" s="46"/>
      <c r="K54" s="46"/>
      <c r="L54" s="9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30" customHeight="1">
      <c r="A55" s="11"/>
      <c r="B55" s="74"/>
      <c r="C55" s="46"/>
      <c r="D55" s="74"/>
      <c r="E55" s="46"/>
      <c r="F55" s="46"/>
      <c r="G55" s="46"/>
      <c r="H55" s="46"/>
      <c r="I55" s="46"/>
      <c r="J55" s="46"/>
      <c r="K55" s="46"/>
      <c r="L55" s="9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30" customHeight="1">
      <c r="A56" s="11"/>
      <c r="B56" s="74"/>
      <c r="C56" s="46"/>
      <c r="D56" s="74"/>
      <c r="E56" s="46"/>
      <c r="F56" s="46"/>
      <c r="G56" s="46"/>
      <c r="H56" s="46"/>
      <c r="I56" s="46"/>
      <c r="J56" s="46"/>
      <c r="K56" s="46"/>
      <c r="L56" s="9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30" customHeight="1" thickBot="1">
      <c r="A57" s="12"/>
      <c r="B57" s="76"/>
      <c r="C57" s="51"/>
      <c r="D57" s="76"/>
      <c r="E57" s="51"/>
      <c r="F57" s="51"/>
      <c r="G57" s="51"/>
      <c r="H57" s="51"/>
      <c r="I57" s="51"/>
      <c r="J57" s="51"/>
      <c r="K57" s="51"/>
      <c r="L57" s="13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</sheetData>
  <sheetProtection/>
  <printOptions/>
  <pageMargins left="0.6692913385826772" right="0.5905511811023623" top="0.984251968503937" bottom="0.944881889763779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&amp;L&amp;"굴림,보통"&lt;자연표토복원공법-생태숲복원용&gt;&amp;R&amp;"굴림,보통"&lt;2014년도 상반기&gt;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70" zoomScaleNormal="75" zoomScaleSheetLayoutView="70" zoomScalePageLayoutView="0" workbookViewId="0" topLeftCell="A4">
      <selection activeCell="D14" sqref="D14"/>
    </sheetView>
  </sheetViews>
  <sheetFormatPr defaultColWidth="9.00390625" defaultRowHeight="14.25"/>
  <cols>
    <col min="1" max="1" width="16.625" style="77" customWidth="1"/>
    <col min="2" max="2" width="23.625" style="4" bestFit="1" customWidth="1"/>
    <col min="3" max="3" width="17.625" style="78" bestFit="1" customWidth="1"/>
    <col min="4" max="4" width="12.625" style="79" customWidth="1"/>
    <col min="5" max="5" width="14.625" style="4" bestFit="1" customWidth="1"/>
    <col min="6" max="8" width="13.625" style="4" customWidth="1"/>
    <col min="9" max="9" width="43.375" style="4" customWidth="1"/>
    <col min="10" max="16384" width="9.00390625" style="4" customWidth="1"/>
  </cols>
  <sheetData>
    <row r="1" spans="1:10" ht="30" customHeight="1" thickBot="1">
      <c r="A1" s="172" t="s">
        <v>138</v>
      </c>
      <c r="B1" s="173"/>
      <c r="C1" s="174"/>
      <c r="D1" s="175"/>
      <c r="E1" s="173"/>
      <c r="F1" s="176"/>
      <c r="G1" s="176"/>
      <c r="H1" s="176"/>
      <c r="I1" s="176"/>
      <c r="J1" s="177"/>
    </row>
    <row r="2" spans="1:10" ht="28.5" customHeight="1">
      <c r="A2" s="284" t="s">
        <v>134</v>
      </c>
      <c r="B2" s="228" t="s">
        <v>228</v>
      </c>
      <c r="C2" s="178">
        <f>141221</f>
        <v>141221</v>
      </c>
      <c r="D2" s="179"/>
      <c r="E2" s="160"/>
      <c r="F2" s="229" t="s">
        <v>229</v>
      </c>
      <c r="G2" s="230"/>
      <c r="H2" s="229"/>
      <c r="I2" s="229" t="s">
        <v>230</v>
      </c>
      <c r="J2" s="161"/>
    </row>
    <row r="3" spans="1:10" ht="28.5" customHeight="1">
      <c r="A3" s="285"/>
      <c r="B3" s="170" t="s">
        <v>231</v>
      </c>
      <c r="C3" s="231">
        <v>1086</v>
      </c>
      <c r="D3" s="171"/>
      <c r="E3" s="150"/>
      <c r="F3" s="232" t="s">
        <v>232</v>
      </c>
      <c r="G3" s="233"/>
      <c r="H3" s="232"/>
      <c r="I3" s="232" t="s">
        <v>233</v>
      </c>
      <c r="J3" s="162"/>
    </row>
    <row r="4" spans="1:10" ht="28.5" customHeight="1">
      <c r="A4" s="285"/>
      <c r="B4" s="232" t="s">
        <v>132</v>
      </c>
      <c r="C4" s="234">
        <f>ROUND(C2*C3,-4)</f>
        <v>153370000</v>
      </c>
      <c r="D4" s="37"/>
      <c r="E4" s="34"/>
      <c r="F4" s="232" t="s">
        <v>229</v>
      </c>
      <c r="G4" s="233"/>
      <c r="H4" s="233"/>
      <c r="I4" s="232" t="s">
        <v>234</v>
      </c>
      <c r="J4" s="162"/>
    </row>
    <row r="5" spans="1:10" ht="28.5" customHeight="1">
      <c r="A5" s="285"/>
      <c r="B5" s="157" t="s">
        <v>235</v>
      </c>
      <c r="C5" s="159">
        <v>41399000</v>
      </c>
      <c r="D5" s="157"/>
      <c r="E5" s="34"/>
      <c r="F5" s="232" t="s">
        <v>229</v>
      </c>
      <c r="G5" s="233"/>
      <c r="H5" s="233"/>
      <c r="I5" s="232" t="s">
        <v>236</v>
      </c>
      <c r="J5" s="162"/>
    </row>
    <row r="6" spans="1:10" ht="28.5" customHeight="1">
      <c r="A6" s="285"/>
      <c r="B6" s="157" t="s">
        <v>237</v>
      </c>
      <c r="C6" s="159">
        <v>21089000</v>
      </c>
      <c r="D6" s="157"/>
      <c r="E6" s="34"/>
      <c r="F6" s="232" t="s">
        <v>229</v>
      </c>
      <c r="G6" s="233"/>
      <c r="H6" s="233"/>
      <c r="I6" s="232" t="s">
        <v>238</v>
      </c>
      <c r="J6" s="162"/>
    </row>
    <row r="7" spans="1:10" ht="28.5" customHeight="1">
      <c r="A7" s="285"/>
      <c r="B7" s="157" t="s">
        <v>239</v>
      </c>
      <c r="C7" s="159">
        <v>38257000</v>
      </c>
      <c r="D7" s="157"/>
      <c r="E7" s="34"/>
      <c r="F7" s="232" t="s">
        <v>229</v>
      </c>
      <c r="G7" s="233"/>
      <c r="H7" s="233"/>
      <c r="I7" s="232" t="s">
        <v>240</v>
      </c>
      <c r="J7" s="162"/>
    </row>
    <row r="8" spans="1:10" ht="28.5" customHeight="1">
      <c r="A8" s="285"/>
      <c r="B8" s="157" t="s">
        <v>241</v>
      </c>
      <c r="C8" s="159">
        <v>290000</v>
      </c>
      <c r="D8" s="157"/>
      <c r="E8" s="34"/>
      <c r="F8" s="232" t="s">
        <v>229</v>
      </c>
      <c r="G8" s="233"/>
      <c r="H8" s="233"/>
      <c r="I8" s="232" t="s">
        <v>240</v>
      </c>
      <c r="J8" s="162"/>
    </row>
    <row r="9" spans="1:10" ht="28.5" customHeight="1">
      <c r="A9" s="285"/>
      <c r="B9" s="157" t="s">
        <v>242</v>
      </c>
      <c r="C9" s="159">
        <v>16360000</v>
      </c>
      <c r="D9" s="157"/>
      <c r="E9" s="34"/>
      <c r="F9" s="232" t="s">
        <v>229</v>
      </c>
      <c r="G9" s="233"/>
      <c r="H9" s="233"/>
      <c r="I9" s="232" t="s">
        <v>240</v>
      </c>
      <c r="J9" s="162"/>
    </row>
    <row r="10" spans="1:10" ht="28.5" customHeight="1">
      <c r="A10" s="285" t="s">
        <v>137</v>
      </c>
      <c r="B10" s="232" t="s">
        <v>243</v>
      </c>
      <c r="C10" s="158">
        <v>4677</v>
      </c>
      <c r="D10" s="156">
        <v>1E-07</v>
      </c>
      <c r="E10" s="34"/>
      <c r="F10" s="232" t="s">
        <v>229</v>
      </c>
      <c r="G10" s="233"/>
      <c r="H10" s="233"/>
      <c r="I10" s="232" t="s">
        <v>244</v>
      </c>
      <c r="J10" s="162"/>
    </row>
    <row r="11" spans="1:10" ht="28.5" customHeight="1">
      <c r="A11" s="285"/>
      <c r="B11" s="157" t="s">
        <v>245</v>
      </c>
      <c r="C11" s="159">
        <v>2503</v>
      </c>
      <c r="D11" s="156">
        <v>1E-07</v>
      </c>
      <c r="E11" s="34"/>
      <c r="F11" s="232" t="s">
        <v>229</v>
      </c>
      <c r="G11" s="233"/>
      <c r="H11" s="233"/>
      <c r="I11" s="232" t="s">
        <v>246</v>
      </c>
      <c r="J11" s="162"/>
    </row>
    <row r="12" spans="1:10" ht="28.5" customHeight="1">
      <c r="A12" s="285"/>
      <c r="B12" s="157" t="s">
        <v>247</v>
      </c>
      <c r="C12" s="159">
        <v>2901</v>
      </c>
      <c r="D12" s="156">
        <v>1E-07</v>
      </c>
      <c r="E12" s="34"/>
      <c r="F12" s="232" t="s">
        <v>229</v>
      </c>
      <c r="G12" s="233"/>
      <c r="H12" s="233"/>
      <c r="I12" s="232" t="s">
        <v>248</v>
      </c>
      <c r="J12" s="162"/>
    </row>
    <row r="13" spans="1:10" ht="28.5" customHeight="1">
      <c r="A13" s="285"/>
      <c r="B13" s="157" t="s">
        <v>239</v>
      </c>
      <c r="C13" s="159">
        <v>2045</v>
      </c>
      <c r="D13" s="156">
        <v>1E-07</v>
      </c>
      <c r="E13" s="34"/>
      <c r="F13" s="232" t="s">
        <v>229</v>
      </c>
      <c r="G13" s="233"/>
      <c r="H13" s="233"/>
      <c r="I13" s="232" t="s">
        <v>249</v>
      </c>
      <c r="J13" s="162"/>
    </row>
    <row r="14" spans="1:10" ht="28.5" customHeight="1">
      <c r="A14" s="285"/>
      <c r="B14" s="157" t="s">
        <v>241</v>
      </c>
      <c r="C14" s="159">
        <v>2686</v>
      </c>
      <c r="D14" s="156">
        <v>1E-07</v>
      </c>
      <c r="E14" s="34"/>
      <c r="F14" s="232" t="s">
        <v>229</v>
      </c>
      <c r="G14" s="233"/>
      <c r="H14" s="233"/>
      <c r="I14" s="232" t="s">
        <v>250</v>
      </c>
      <c r="J14" s="162"/>
    </row>
    <row r="15" spans="1:10" ht="28.5" customHeight="1">
      <c r="A15" s="285"/>
      <c r="B15" s="157" t="s">
        <v>242</v>
      </c>
      <c r="C15" s="159">
        <v>2294</v>
      </c>
      <c r="D15" s="156">
        <v>1E-07</v>
      </c>
      <c r="E15" s="34"/>
      <c r="F15" s="232" t="s">
        <v>229</v>
      </c>
      <c r="G15" s="233"/>
      <c r="H15" s="233"/>
      <c r="I15" s="232" t="s">
        <v>251</v>
      </c>
      <c r="J15" s="162"/>
    </row>
    <row r="16" spans="1:10" ht="28.5" customHeight="1">
      <c r="A16" s="155" t="s">
        <v>135</v>
      </c>
      <c r="B16" s="157" t="s">
        <v>133</v>
      </c>
      <c r="C16" s="234">
        <f>'[1]등재사항'!E24</f>
        <v>1454</v>
      </c>
      <c r="D16" s="157"/>
      <c r="E16" s="34"/>
      <c r="F16" s="232" t="s">
        <v>229</v>
      </c>
      <c r="G16" s="232"/>
      <c r="H16" s="232"/>
      <c r="I16" s="232" t="s">
        <v>252</v>
      </c>
      <c r="J16" s="162"/>
    </row>
    <row r="17" spans="1:10" ht="28.5" customHeight="1">
      <c r="A17" s="286" t="s">
        <v>136</v>
      </c>
      <c r="B17" s="157" t="s">
        <v>253</v>
      </c>
      <c r="C17" s="234">
        <v>105826</v>
      </c>
      <c r="D17" s="157"/>
      <c r="E17" s="34"/>
      <c r="F17" s="232" t="s">
        <v>229</v>
      </c>
      <c r="G17" s="232"/>
      <c r="H17" s="232"/>
      <c r="I17" s="235" t="s">
        <v>254</v>
      </c>
      <c r="J17" s="162"/>
    </row>
    <row r="18" spans="1:10" ht="28.5" customHeight="1">
      <c r="A18" s="286"/>
      <c r="B18" s="157" t="s">
        <v>255</v>
      </c>
      <c r="C18" s="234">
        <v>96782</v>
      </c>
      <c r="D18" s="157"/>
      <c r="E18" s="34"/>
      <c r="F18" s="232" t="s">
        <v>229</v>
      </c>
      <c r="G18" s="232"/>
      <c r="H18" s="232"/>
      <c r="I18" s="235" t="s">
        <v>254</v>
      </c>
      <c r="J18" s="162"/>
    </row>
    <row r="19" spans="1:10" ht="28.5" customHeight="1">
      <c r="A19" s="286"/>
      <c r="B19" s="157" t="s">
        <v>17</v>
      </c>
      <c r="C19" s="234">
        <v>102334</v>
      </c>
      <c r="D19" s="34"/>
      <c r="E19" s="34"/>
      <c r="F19" s="232" t="s">
        <v>229</v>
      </c>
      <c r="G19" s="232"/>
      <c r="H19" s="232"/>
      <c r="I19" s="235" t="s">
        <v>254</v>
      </c>
      <c r="J19" s="162"/>
    </row>
    <row r="20" spans="1:10" ht="28.5" customHeight="1">
      <c r="A20" s="286"/>
      <c r="B20" s="157" t="s">
        <v>18</v>
      </c>
      <c r="C20" s="234">
        <v>84166</v>
      </c>
      <c r="D20" s="34"/>
      <c r="E20" s="34"/>
      <c r="F20" s="232" t="s">
        <v>229</v>
      </c>
      <c r="G20" s="232"/>
      <c r="H20" s="232"/>
      <c r="I20" s="235" t="s">
        <v>254</v>
      </c>
      <c r="J20" s="162"/>
    </row>
    <row r="21" spans="1:10" ht="28.5" customHeight="1">
      <c r="A21" s="286"/>
      <c r="B21" s="34" t="s">
        <v>256</v>
      </c>
      <c r="C21" s="236">
        <v>89737</v>
      </c>
      <c r="D21" s="34"/>
      <c r="E21" s="34"/>
      <c r="F21" s="232" t="s">
        <v>229</v>
      </c>
      <c r="G21" s="232"/>
      <c r="H21" s="232"/>
      <c r="I21" s="235" t="s">
        <v>254</v>
      </c>
      <c r="J21" s="162"/>
    </row>
    <row r="22" spans="1:10" ht="28.5" customHeight="1" thickBot="1">
      <c r="A22" s="287"/>
      <c r="B22" s="40" t="s">
        <v>257</v>
      </c>
      <c r="C22" s="237">
        <v>105175</v>
      </c>
      <c r="D22" s="40"/>
      <c r="E22" s="40"/>
      <c r="F22" s="238" t="s">
        <v>229</v>
      </c>
      <c r="G22" s="238"/>
      <c r="H22" s="238"/>
      <c r="I22" s="239" t="s">
        <v>254</v>
      </c>
      <c r="J22" s="164"/>
    </row>
    <row r="23" spans="1:10" ht="30" customHeight="1">
      <c r="A23" s="193" t="s">
        <v>208</v>
      </c>
      <c r="B23" s="194"/>
      <c r="C23" s="195"/>
      <c r="D23" s="196"/>
      <c r="E23" s="197"/>
      <c r="F23" s="197"/>
      <c r="G23" s="197"/>
      <c r="H23" s="197"/>
      <c r="I23" s="198"/>
      <c r="J23" s="199"/>
    </row>
    <row r="24" spans="1:10" ht="30" customHeight="1">
      <c r="A24" s="36" t="s">
        <v>44</v>
      </c>
      <c r="B24" s="37"/>
      <c r="C24" s="55" t="s">
        <v>44</v>
      </c>
      <c r="D24" s="37" t="s">
        <v>44</v>
      </c>
      <c r="E24" s="34" t="s">
        <v>44</v>
      </c>
      <c r="F24" s="34" t="s">
        <v>44</v>
      </c>
      <c r="G24" s="34" t="s">
        <v>44</v>
      </c>
      <c r="H24" s="34"/>
      <c r="I24" s="150"/>
      <c r="J24" s="162"/>
    </row>
    <row r="25" spans="1:10" ht="30" customHeight="1">
      <c r="A25" s="38" t="s">
        <v>209</v>
      </c>
      <c r="B25" s="37"/>
      <c r="C25" s="55" t="s">
        <v>44</v>
      </c>
      <c r="D25" s="37" t="s">
        <v>44</v>
      </c>
      <c r="E25" s="34" t="s">
        <v>44</v>
      </c>
      <c r="F25" s="283" t="str">
        <f>I10</f>
        <v>2014년 건설신기술 품셈 431</v>
      </c>
      <c r="G25" s="283"/>
      <c r="H25" s="283"/>
      <c r="I25" s="34" t="s">
        <v>44</v>
      </c>
      <c r="J25" s="162"/>
    </row>
    <row r="26" spans="1:10" ht="30" customHeight="1">
      <c r="A26" s="165" t="str">
        <f>"   - 손비(경비) : "&amp;TEXT(C4,"000,0")&amp;"원 * "&amp;TEXT(C10,"000,0")&amp;" * "&amp;D10&amp;"              = "</f>
        <v>   - 손비(경비) : 153,370,000원 * 4,677 * 0.0000001              = </v>
      </c>
      <c r="B26" s="37"/>
      <c r="C26" s="56"/>
      <c r="D26" s="37"/>
      <c r="E26" s="158">
        <f>INT(C4*C10*D10)</f>
        <v>71731</v>
      </c>
      <c r="F26" s="147"/>
      <c r="G26" s="37"/>
      <c r="H26" s="34"/>
      <c r="I26" s="34" t="s">
        <v>44</v>
      </c>
      <c r="J26" s="162"/>
    </row>
    <row r="27" spans="1:10" ht="30" customHeight="1">
      <c r="A27" s="38" t="str">
        <f>"    - 재료비 : ①  경유 : 6.4L * "&amp;TEXT(C16,IF(C16&lt;1000,"0","000,0"))&amp;"원/L = "&amp;TEXT(INT(6.4*C16),IF(C16*6.4&lt;1000,"0","000,0"))&amp;"원"</f>
        <v>    - 재료비 : ①  경유 : 6.4L * 1,454원/L = 9,305원</v>
      </c>
      <c r="B27" s="37"/>
      <c r="C27" s="56"/>
      <c r="D27" s="37"/>
      <c r="E27" s="37"/>
      <c r="F27" s="37"/>
      <c r="G27" s="37"/>
      <c r="H27" s="34"/>
      <c r="I27" s="34"/>
      <c r="J27" s="162"/>
    </row>
    <row r="28" spans="1:10" ht="30" customHeight="1">
      <c r="A28" s="38" t="str">
        <f>"               ②  잡품(20%)             = "&amp;TEXT(INT(6.4*C16*0.2),IF(6.4*C16*0.2&lt;1000,"0","000,0"))&amp;"원      소계 : "</f>
        <v>               ②  잡품(20%)             = 1,861원      소계 : </v>
      </c>
      <c r="B28" s="37"/>
      <c r="C28" s="56"/>
      <c r="D28" s="37"/>
      <c r="E28" s="168">
        <f>INT(6.4*C16)+INT(6.4*C16*0.2)</f>
        <v>11166</v>
      </c>
      <c r="F28" s="37"/>
      <c r="G28" s="37"/>
      <c r="H28" s="34"/>
      <c r="I28" s="34"/>
      <c r="J28" s="162"/>
    </row>
    <row r="29" spans="1:10" ht="30" customHeight="1">
      <c r="A29" s="38" t="str">
        <f>"    - 노무비(일반기계운전사) : "&amp;TEXT(C21,"000,0")&amp;" * 1/8 * 16/12 * 25/20           =  "</f>
        <v>    - 노무비(일반기계운전사) : 89,737 * 1/8 * 16/12 * 25/20           =  </v>
      </c>
      <c r="B29" s="37"/>
      <c r="C29" s="56"/>
      <c r="D29" s="37"/>
      <c r="E29" s="158">
        <f>INT(C21*1/8*16/12*25/20)</f>
        <v>18695</v>
      </c>
      <c r="G29" s="37"/>
      <c r="H29" s="34"/>
      <c r="I29" s="34" t="s">
        <v>44</v>
      </c>
      <c r="J29" s="162"/>
    </row>
    <row r="30" spans="1:10" ht="30" customHeight="1">
      <c r="A30" s="38"/>
      <c r="B30" s="37"/>
      <c r="C30" s="56"/>
      <c r="D30" s="37"/>
      <c r="E30" s="37"/>
      <c r="F30" s="37"/>
      <c r="G30" s="37"/>
      <c r="H30" s="34"/>
      <c r="I30" s="34" t="s">
        <v>44</v>
      </c>
      <c r="J30" s="162"/>
    </row>
    <row r="31" spans="1:10" ht="30" customHeight="1">
      <c r="A31" s="38" t="s">
        <v>210</v>
      </c>
      <c r="B31" s="37"/>
      <c r="C31" s="55" t="s">
        <v>44</v>
      </c>
      <c r="D31" s="37" t="s">
        <v>44</v>
      </c>
      <c r="E31" s="34" t="s">
        <v>44</v>
      </c>
      <c r="F31" s="283" t="str">
        <f>I11</f>
        <v>2014년 건설공사 표준품셈 477</v>
      </c>
      <c r="G31" s="283"/>
      <c r="H31" s="283"/>
      <c r="I31" s="34" t="s">
        <v>44</v>
      </c>
      <c r="J31" s="162"/>
    </row>
    <row r="32" spans="1:10" ht="30" customHeight="1">
      <c r="A32" s="165" t="str">
        <f>"   - 손비(경비) : "&amp;TEXT(C5,"000,0")&amp;"원 * "&amp;TEXT(C11,"000,0")&amp;" * "&amp;D11&amp;"               = "</f>
        <v>   - 손비(경비) : 41,399,000원 * 2,503 * 0.0000001               = </v>
      </c>
      <c r="B32" s="37"/>
      <c r="C32" s="56"/>
      <c r="D32" s="37"/>
      <c r="E32" s="158">
        <f>INT(C5*C11*D11)</f>
        <v>10362</v>
      </c>
      <c r="F32" s="37"/>
      <c r="G32" s="37"/>
      <c r="H32" s="34"/>
      <c r="I32" s="34"/>
      <c r="J32" s="162"/>
    </row>
    <row r="33" spans="1:10" ht="30" customHeight="1">
      <c r="A33" s="38" t="str">
        <f>"    - 재료비 : ①  경유 : 5.1L * "&amp;TEXT(C16,IF(C16&lt;1000,"0","000,0"))&amp;"원/L = "&amp;TEXT(INT(5.1*C16),IF(C16*5.1&lt;1000,"0","000,0"))&amp;"원"</f>
        <v>    - 재료비 : ①  경유 : 5.1L * 1,454원/L = 7,415원</v>
      </c>
      <c r="B33" s="37"/>
      <c r="C33" s="56"/>
      <c r="D33" s="37"/>
      <c r="E33" s="37"/>
      <c r="F33" s="37"/>
      <c r="G33" s="37"/>
      <c r="H33" s="34"/>
      <c r="I33" s="34"/>
      <c r="J33" s="162"/>
    </row>
    <row r="34" spans="1:10" ht="30" customHeight="1">
      <c r="A34" s="38" t="str">
        <f>"               ②  잡품(20%)           = "&amp;TEXT(INT(5.1*C16*0.2),IF(5.1*C16*0.2&lt;1000,"0","000,0"))&amp;"원      소계 : "</f>
        <v>               ②  잡품(20%)           = 1,483원      소계 : </v>
      </c>
      <c r="B34" s="37"/>
      <c r="C34" s="56"/>
      <c r="D34" s="37"/>
      <c r="E34" s="168">
        <f>INT(5.1*C16)+INT(5.1*C16*0.2)</f>
        <v>8898</v>
      </c>
      <c r="F34" s="37"/>
      <c r="G34" s="37"/>
      <c r="H34" s="34"/>
      <c r="I34" s="34"/>
      <c r="J34" s="162"/>
    </row>
    <row r="35" spans="1:10" ht="30" customHeight="1">
      <c r="A35" s="38" t="str">
        <f>"    - 노무비(화물차운전사) : "&amp;TEXT(C22,"000,0")&amp;" * 1/8 * 16/12 * 25/20         =  "</f>
        <v>    - 노무비(화물차운전사) : 105,175 * 1/8 * 16/12 * 25/20         =  </v>
      </c>
      <c r="B35" s="37"/>
      <c r="C35" s="56"/>
      <c r="D35" s="37"/>
      <c r="E35" s="158">
        <f>INT(C22*1/8*16/12*25/20)</f>
        <v>21911</v>
      </c>
      <c r="F35" s="37"/>
      <c r="G35" s="182"/>
      <c r="H35" s="34"/>
      <c r="I35" s="34"/>
      <c r="J35" s="162"/>
    </row>
    <row r="36" spans="1:10" ht="30" customHeight="1">
      <c r="A36" s="38"/>
      <c r="B36" s="37"/>
      <c r="C36" s="56"/>
      <c r="D36" s="37"/>
      <c r="E36" s="37"/>
      <c r="F36" s="37"/>
      <c r="G36" s="37"/>
      <c r="H36" s="34"/>
      <c r="I36" s="34"/>
      <c r="J36" s="162"/>
    </row>
    <row r="37" spans="1:10" ht="30" customHeight="1">
      <c r="A37" s="38" t="s">
        <v>211</v>
      </c>
      <c r="B37" s="37"/>
      <c r="C37" s="55" t="s">
        <v>44</v>
      </c>
      <c r="D37" s="37" t="s">
        <v>44</v>
      </c>
      <c r="E37" s="34" t="s">
        <v>44</v>
      </c>
      <c r="F37" s="283" t="str">
        <f>I12</f>
        <v>2014년 건설공사 표준품셈 468</v>
      </c>
      <c r="G37" s="283"/>
      <c r="H37" s="283"/>
      <c r="I37" s="34"/>
      <c r="J37" s="162"/>
    </row>
    <row r="38" spans="1:10" ht="30" customHeight="1">
      <c r="A38" s="165" t="str">
        <f>"   - 손비(경비) : "&amp;TEXT(C6,"000,0")&amp;"원 * "&amp;TEXT(C12,"000,0")&amp;" * "&amp;D12&amp;"               = "</f>
        <v>   - 손비(경비) : 21,089,000원 * 2,901 * 0.0000001               = </v>
      </c>
      <c r="B38" s="37"/>
      <c r="C38" s="56"/>
      <c r="D38" s="37"/>
      <c r="E38" s="158">
        <f>INT(C6*C12*D12)</f>
        <v>6117</v>
      </c>
      <c r="F38" s="37"/>
      <c r="G38" s="34" t="s">
        <v>44</v>
      </c>
      <c r="H38" s="34"/>
      <c r="I38" s="34"/>
      <c r="J38" s="162"/>
    </row>
    <row r="39" spans="1:10" ht="30" customHeight="1">
      <c r="A39" s="38" t="str">
        <f>"    - 재료비 : ①  경유 : 8.0L * "&amp;TEXT(C16,IF(C16&lt;1000,"0","000,0"))&amp;"원/L = "&amp;TEXT(INT(8*C16),IF(C16*8&lt;1000,"0","000,0"))&amp;"원"</f>
        <v>    - 재료비 : ①  경유 : 8.0L * 1,454원/L = 11,632원</v>
      </c>
      <c r="B39" s="37"/>
      <c r="C39" s="56"/>
      <c r="D39" s="37"/>
      <c r="E39" s="37"/>
      <c r="F39" s="37"/>
      <c r="G39" s="149"/>
      <c r="H39" s="34"/>
      <c r="I39" s="34"/>
      <c r="J39" s="162"/>
    </row>
    <row r="40" spans="1:10" ht="30" customHeight="1">
      <c r="A40" s="38" t="str">
        <f>"               ②  잡품(38%)              = "&amp;TEXT(INT(8*C$16*0.38),IF(INT(8*C$16)*0.38&lt;1000,"0","000,0"))&amp;"원      소계 : "</f>
        <v>               ②  잡품(38%)              = 4,420원      소계 : </v>
      </c>
      <c r="B40" s="37"/>
      <c r="C40" s="56"/>
      <c r="D40" s="37"/>
      <c r="E40" s="169">
        <f>INT(8*C$16)+INT(8*C$16*0.38)</f>
        <v>16052</v>
      </c>
      <c r="F40" s="37"/>
      <c r="G40" s="149"/>
      <c r="H40" s="34"/>
      <c r="I40" s="34"/>
      <c r="J40" s="162"/>
    </row>
    <row r="41" spans="1:10" ht="30" customHeight="1">
      <c r="A41" s="38" t="str">
        <f>"    - 노무비(화물차운전사) : "&amp;TEXT(C22,"000,0")&amp;" * 1/8 * 16/12 * 25/20         =  "</f>
        <v>    - 노무비(화물차운전사) : 105,175 * 1/8 * 16/12 * 25/20         =  </v>
      </c>
      <c r="B41" s="37"/>
      <c r="C41" s="56"/>
      <c r="D41" s="37"/>
      <c r="E41" s="169">
        <f>INT(C22*1/8*16/12*25/20)</f>
        <v>21911</v>
      </c>
      <c r="F41" s="37"/>
      <c r="G41" s="34" t="s">
        <v>44</v>
      </c>
      <c r="H41" s="34"/>
      <c r="I41" s="34"/>
      <c r="J41" s="162"/>
    </row>
    <row r="42" spans="1:10" ht="30" customHeight="1">
      <c r="A42" s="38"/>
      <c r="B42" s="37"/>
      <c r="C42" s="56"/>
      <c r="D42" s="37"/>
      <c r="E42" s="37"/>
      <c r="F42" s="37"/>
      <c r="G42" s="34"/>
      <c r="H42" s="150"/>
      <c r="I42" s="150"/>
      <c r="J42" s="162"/>
    </row>
    <row r="43" spans="1:10" ht="29.25" customHeight="1" thickBot="1">
      <c r="A43" s="166"/>
      <c r="B43" s="39"/>
      <c r="C43" s="57"/>
      <c r="D43" s="39"/>
      <c r="E43" s="39"/>
      <c r="F43" s="39"/>
      <c r="G43" s="40"/>
      <c r="H43" s="163"/>
      <c r="I43" s="163"/>
      <c r="J43" s="164"/>
    </row>
    <row r="44" spans="1:10" ht="30" customHeight="1">
      <c r="A44" s="167" t="s">
        <v>212</v>
      </c>
      <c r="B44" s="33"/>
      <c r="C44" s="54" t="s">
        <v>44</v>
      </c>
      <c r="D44" s="33" t="s">
        <v>44</v>
      </c>
      <c r="E44" s="35" t="s">
        <v>44</v>
      </c>
      <c r="F44" s="283" t="str">
        <f>I13</f>
        <v>2014년 건설공사 표준품셈 513</v>
      </c>
      <c r="G44" s="283"/>
      <c r="H44" s="283"/>
      <c r="I44" s="160"/>
      <c r="J44" s="161"/>
    </row>
    <row r="45" spans="1:10" ht="30" customHeight="1">
      <c r="A45" s="165" t="str">
        <f>"   - 손비(경비) : "&amp;TEXT(C7,"000,0")&amp;"원 * "&amp;TEXT(C13,"000,0")&amp;" * "&amp;D13&amp;"               = "</f>
        <v>   - 손비(경비) : 38,257,000원 * 2,045 * 0.0000001               = </v>
      </c>
      <c r="B45" s="37"/>
      <c r="C45" s="56"/>
      <c r="D45" s="37"/>
      <c r="E45" s="158">
        <f>INT(C7*C13*D13)</f>
        <v>7823</v>
      </c>
      <c r="F45" s="37"/>
      <c r="G45" s="34" t="s">
        <v>44</v>
      </c>
      <c r="H45" s="150"/>
      <c r="I45" s="150"/>
      <c r="J45" s="162"/>
    </row>
    <row r="46" spans="1:10" ht="30" customHeight="1">
      <c r="A46" s="38" t="str">
        <f>"    - 재료비 : ①  경유 : 9.3L * "&amp;TEXT(C16,IF(C16&lt;1000,"0","000,0"))&amp;"원/L = "&amp;TEXT(INT(9.3*C16),IF(C16*9.3&lt;1000,"0","000,0"))&amp;"원"</f>
        <v>    - 재료비 : ①  경유 : 9.3L * 1,454원/L = 13,522원</v>
      </c>
      <c r="B46" s="37"/>
      <c r="C46" s="56"/>
      <c r="D46" s="37"/>
      <c r="E46" s="158"/>
      <c r="F46" s="37"/>
      <c r="G46" s="148"/>
      <c r="H46" s="150"/>
      <c r="I46" s="150"/>
      <c r="J46" s="162"/>
    </row>
    <row r="47" spans="1:10" ht="30" customHeight="1">
      <c r="A47" s="38" t="str">
        <f>"               ②  잡품(30%)              = "&amp;TEXT(INT(9.3*C$16*0.3),IF(9.3*C$16*0.3&lt;1000,"0","000,0"))&amp;"원      소계 : "</f>
        <v>               ②  잡품(30%)              = 4,056원      소계 : </v>
      </c>
      <c r="B47" s="37"/>
      <c r="C47" s="56"/>
      <c r="D47" s="37"/>
      <c r="E47" s="158">
        <f>INT(9.3*C$16)+INT(9.3*C$16*0.3)</f>
        <v>17578</v>
      </c>
      <c r="F47" s="37"/>
      <c r="G47" s="148"/>
      <c r="H47" s="150"/>
      <c r="I47" s="150"/>
      <c r="J47" s="162"/>
    </row>
    <row r="48" spans="1:10" ht="30" customHeight="1">
      <c r="A48" s="38" t="str">
        <f>"    - 노무비(화물차운전사) : "&amp;TEXT(C22,"000,0")&amp;" * 1/8 * 16/12 * 25/20         =  "</f>
        <v>    - 노무비(화물차운전사) : 105,175 * 1/8 * 16/12 * 25/20         =  </v>
      </c>
      <c r="B48" s="37"/>
      <c r="C48" s="56"/>
      <c r="D48" s="37"/>
      <c r="E48" s="158">
        <f>INT(C22*1/8*16/12*25/20)</f>
        <v>21911</v>
      </c>
      <c r="F48" s="37"/>
      <c r="G48" s="34"/>
      <c r="H48" s="150"/>
      <c r="I48" s="150"/>
      <c r="J48" s="162"/>
    </row>
    <row r="49" spans="1:10" ht="30" customHeight="1">
      <c r="A49" s="38"/>
      <c r="B49" s="37"/>
      <c r="C49" s="56"/>
      <c r="D49" s="37"/>
      <c r="E49" s="37"/>
      <c r="F49" s="37"/>
      <c r="G49" s="34"/>
      <c r="H49" s="150"/>
      <c r="I49" s="150"/>
      <c r="J49" s="162"/>
    </row>
    <row r="50" spans="1:10" ht="30" customHeight="1">
      <c r="A50" s="38" t="s">
        <v>213</v>
      </c>
      <c r="B50" s="37"/>
      <c r="C50" s="55" t="s">
        <v>44</v>
      </c>
      <c r="D50" s="37" t="s">
        <v>44</v>
      </c>
      <c r="E50" s="34" t="s">
        <v>44</v>
      </c>
      <c r="F50" s="288" t="str">
        <f>I14</f>
        <v>2014년 건설공사 표준품셈 518</v>
      </c>
      <c r="G50" s="288"/>
      <c r="H50" s="288"/>
      <c r="I50" s="150"/>
      <c r="J50" s="162"/>
    </row>
    <row r="51" spans="1:10" ht="30" customHeight="1">
      <c r="A51" s="165" t="str">
        <f>"   - 손비(경비) : "&amp;TEXT(C8,"000,0")&amp;"원 * "&amp;TEXT(C14,"000,0")&amp;" * "&amp;D14&amp;"                  = "</f>
        <v>   - 손비(경비) : 290,000원 * 2,686 * 0.0000001                  = </v>
      </c>
      <c r="B51" s="37"/>
      <c r="C51" s="56"/>
      <c r="D51" s="37"/>
      <c r="E51" s="158">
        <f>INT(C14*C8*D14)</f>
        <v>77</v>
      </c>
      <c r="F51" s="37"/>
      <c r="G51" s="34" t="s">
        <v>44</v>
      </c>
      <c r="H51" s="150"/>
      <c r="I51" s="150"/>
      <c r="J51" s="162"/>
    </row>
    <row r="52" spans="1:10" ht="30" customHeight="1">
      <c r="A52" s="36" t="s">
        <v>44</v>
      </c>
      <c r="B52" s="37"/>
      <c r="C52" s="55" t="s">
        <v>44</v>
      </c>
      <c r="D52" s="37" t="s">
        <v>44</v>
      </c>
      <c r="E52" s="159" t="s">
        <v>44</v>
      </c>
      <c r="F52" s="34" t="s">
        <v>44</v>
      </c>
      <c r="G52" s="34" t="s">
        <v>44</v>
      </c>
      <c r="H52" s="150"/>
      <c r="I52" s="150"/>
      <c r="J52" s="162"/>
    </row>
    <row r="53" spans="1:10" ht="30" customHeight="1">
      <c r="A53" s="95" t="s">
        <v>214</v>
      </c>
      <c r="B53" s="81"/>
      <c r="C53" s="55" t="s">
        <v>44</v>
      </c>
      <c r="D53" s="81" t="s">
        <v>44</v>
      </c>
      <c r="E53" s="159" t="s">
        <v>44</v>
      </c>
      <c r="F53" s="283" t="str">
        <f>I15</f>
        <v>2014년 건설공사 표준품셈 516</v>
      </c>
      <c r="G53" s="283"/>
      <c r="H53" s="283"/>
      <c r="I53" s="150"/>
      <c r="J53" s="162"/>
    </row>
    <row r="54" spans="1:10" ht="30" customHeight="1">
      <c r="A54" s="165" t="str">
        <f>"   - 손비(경비) : "&amp;TEXT(C9,"000,0")&amp;"원 * "&amp;TEXT(C15,"000,0")&amp;" * "&amp;D15&amp;"               = "</f>
        <v>   - 손비(경비) : 16,360,000원 * 2,294 * 0.0000001               = </v>
      </c>
      <c r="B54" s="81"/>
      <c r="C54" s="96"/>
      <c r="D54" s="97"/>
      <c r="E54" s="159">
        <f>INT(C15*C9*D15)</f>
        <v>3752</v>
      </c>
      <c r="F54" s="98"/>
      <c r="G54" s="34"/>
      <c r="H54" s="150"/>
      <c r="I54" s="150"/>
      <c r="J54" s="162"/>
    </row>
    <row r="55" spans="1:10" ht="30" customHeight="1">
      <c r="A55" s="38" t="str">
        <f>"    - 재료비 : ①  경유 : 8.7L * "&amp;TEXT(C16,IF(C16&lt;1000,"0","000,0"))&amp;"원/L = "&amp;TEXT(INT(8.7*C16),IF(C16*8.7&lt;1000,"0","000,0"))&amp;"원"</f>
        <v>    - 재료비 : ①  경유 : 8.7L * 1,454원/L = 12,649원</v>
      </c>
      <c r="B55" s="81"/>
      <c r="C55" s="56"/>
      <c r="D55" s="81"/>
      <c r="E55" s="158"/>
      <c r="F55" s="81"/>
      <c r="G55" s="148"/>
      <c r="H55" s="150"/>
      <c r="I55" s="150"/>
      <c r="J55" s="162"/>
    </row>
    <row r="56" spans="1:10" ht="30" customHeight="1">
      <c r="A56" s="38" t="str">
        <f>"               ②  잡품(24%)              = "&amp;TEXT(INT(8.7*C$16*0.24),IF(8.7*C$16*0.24&lt;1000,"0","000,0"))&amp;"원      소계 : "</f>
        <v>               ②  잡품(24%)              = 3,035원      소계 : </v>
      </c>
      <c r="B56" s="81"/>
      <c r="C56" s="56"/>
      <c r="D56" s="81"/>
      <c r="E56" s="158">
        <f>INT(8.7*C$16)+INT(8.7*C$16*0.24)</f>
        <v>15684</v>
      </c>
      <c r="F56" s="81"/>
      <c r="G56" s="148"/>
      <c r="H56" s="150"/>
      <c r="I56" s="150"/>
      <c r="J56" s="162"/>
    </row>
    <row r="57" spans="1:10" ht="30" customHeight="1">
      <c r="A57" s="38" t="str">
        <f>"    - 노무비(일반기계운전사) : "&amp;TEXT(C21,"000,0")&amp;" * 1/8 * 16/12 * 25/20           =  "</f>
        <v>    - 노무비(일반기계운전사) : 89,737 * 1/8 * 16/12 * 25/20           =  </v>
      </c>
      <c r="B57" s="81"/>
      <c r="C57" s="56"/>
      <c r="D57" s="81"/>
      <c r="E57" s="158">
        <f>INT(C21*1/8*16/12*25/20)</f>
        <v>18695</v>
      </c>
      <c r="F57" s="81"/>
      <c r="G57" s="34"/>
      <c r="H57" s="150"/>
      <c r="I57" s="150"/>
      <c r="J57" s="162"/>
    </row>
    <row r="58" spans="1:10" ht="30" customHeight="1">
      <c r="A58" s="36"/>
      <c r="B58" s="37"/>
      <c r="C58" s="55"/>
      <c r="D58" s="37"/>
      <c r="E58" s="34"/>
      <c r="F58" s="34"/>
      <c r="G58" s="34"/>
      <c r="H58" s="150"/>
      <c r="I58" s="150"/>
      <c r="J58" s="162"/>
    </row>
    <row r="59" spans="1:10" ht="30" customHeight="1">
      <c r="A59" s="36"/>
      <c r="B59" s="37"/>
      <c r="C59" s="55"/>
      <c r="D59" s="37"/>
      <c r="E59" s="34"/>
      <c r="F59" s="34"/>
      <c r="G59" s="34"/>
      <c r="H59" s="150"/>
      <c r="I59" s="150"/>
      <c r="J59" s="162"/>
    </row>
    <row r="60" spans="1:10" ht="30" customHeight="1">
      <c r="A60" s="36"/>
      <c r="B60" s="37"/>
      <c r="C60" s="55"/>
      <c r="D60" s="37"/>
      <c r="E60" s="34"/>
      <c r="F60" s="34"/>
      <c r="G60" s="34"/>
      <c r="H60" s="150"/>
      <c r="I60" s="150"/>
      <c r="J60" s="162"/>
    </row>
    <row r="61" spans="1:10" ht="30" customHeight="1">
      <c r="A61" s="95"/>
      <c r="B61" s="81"/>
      <c r="C61" s="56"/>
      <c r="D61" s="81"/>
      <c r="E61" s="81"/>
      <c r="F61" s="81"/>
      <c r="G61" s="34"/>
      <c r="H61" s="150"/>
      <c r="I61" s="150"/>
      <c r="J61" s="162"/>
    </row>
    <row r="62" spans="1:10" ht="30" customHeight="1" thickBot="1">
      <c r="A62" s="41"/>
      <c r="B62" s="42"/>
      <c r="C62" s="58"/>
      <c r="D62" s="39"/>
      <c r="E62" s="40"/>
      <c r="F62" s="40"/>
      <c r="G62" s="40"/>
      <c r="H62" s="163"/>
      <c r="I62" s="163"/>
      <c r="J62" s="164"/>
    </row>
  </sheetData>
  <sheetProtection/>
  <mergeCells count="9">
    <mergeCell ref="F37:H37"/>
    <mergeCell ref="F44:H44"/>
    <mergeCell ref="F53:H53"/>
    <mergeCell ref="A2:A9"/>
    <mergeCell ref="A10:A15"/>
    <mergeCell ref="A17:A22"/>
    <mergeCell ref="F31:H31"/>
    <mergeCell ref="F25:H25"/>
    <mergeCell ref="F50:H50"/>
  </mergeCells>
  <printOptions/>
  <pageMargins left="0.6692913385826772" right="0.6299212598425197" top="0.984251968503937" bottom="0.9055118110236221" header="0.5118110236220472" footer="0.5118110236220472"/>
  <pageSetup horizontalDpi="300" verticalDpi="300" orientation="landscape" paperSize="9" scale="69" r:id="rId1"/>
  <headerFooter alignWithMargins="0">
    <oddHeader>&amp;L&amp;"굴림,보통"&lt;자연표토복원공법&gt;&amp;R&amp;"굴림,보통"&lt;2013년도 하반기&gt;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I77"/>
  <sheetViews>
    <sheetView view="pageBreakPreview" zoomScale="85" zoomScaleNormal="75" zoomScaleSheetLayoutView="85" zoomScalePageLayoutView="0" workbookViewId="0" topLeftCell="A7">
      <selection activeCell="C15" sqref="C15"/>
    </sheetView>
  </sheetViews>
  <sheetFormatPr defaultColWidth="9.00390625" defaultRowHeight="19.5" customHeight="1"/>
  <cols>
    <col min="1" max="1" width="10.25390625" style="109" customWidth="1"/>
    <col min="2" max="2" width="20.375" style="109" bestFit="1" customWidth="1"/>
    <col min="3" max="3" width="27.00390625" style="109" bestFit="1" customWidth="1"/>
    <col min="4" max="4" width="7.25390625" style="109" customWidth="1"/>
    <col min="5" max="5" width="12.125" style="109" bestFit="1" customWidth="1"/>
    <col min="6" max="8" width="21.00390625" style="109" customWidth="1"/>
    <col min="9" max="9" width="27.625" style="109" customWidth="1"/>
    <col min="10" max="16384" width="9.00390625" style="109" customWidth="1"/>
  </cols>
  <sheetData>
    <row r="1" ht="20.25">
      <c r="A1" s="108" t="s">
        <v>219</v>
      </c>
    </row>
    <row r="2" spans="8:9" ht="13.5">
      <c r="H2" s="100"/>
      <c r="I2" s="101" t="s">
        <v>67</v>
      </c>
    </row>
    <row r="3" spans="1:9" ht="19.5" customHeight="1">
      <c r="A3" s="292" t="s">
        <v>68</v>
      </c>
      <c r="B3" s="292" t="s">
        <v>69</v>
      </c>
      <c r="C3" s="292" t="s">
        <v>70</v>
      </c>
      <c r="D3" s="292" t="s">
        <v>71</v>
      </c>
      <c r="E3" s="292" t="s">
        <v>72</v>
      </c>
      <c r="F3" s="294" t="s">
        <v>220</v>
      </c>
      <c r="G3" s="295"/>
      <c r="H3" s="296"/>
      <c r="I3" s="292" t="s">
        <v>73</v>
      </c>
    </row>
    <row r="4" spans="1:9" ht="19.5" customHeight="1">
      <c r="A4" s="293"/>
      <c r="B4" s="293"/>
      <c r="C4" s="293"/>
      <c r="D4" s="293"/>
      <c r="E4" s="293"/>
      <c r="F4" s="183" t="s">
        <v>221</v>
      </c>
      <c r="G4" s="183" t="s">
        <v>222</v>
      </c>
      <c r="H4" s="183"/>
      <c r="I4" s="293"/>
    </row>
    <row r="5" spans="1:9" ht="19.5" customHeight="1">
      <c r="A5" s="289" t="s">
        <v>185</v>
      </c>
      <c r="B5" s="293" t="s">
        <v>144</v>
      </c>
      <c r="C5" s="102" t="s">
        <v>189</v>
      </c>
      <c r="D5" s="103" t="s">
        <v>139</v>
      </c>
      <c r="E5" s="189">
        <v>840</v>
      </c>
      <c r="F5" s="191">
        <v>360</v>
      </c>
      <c r="G5" s="190">
        <v>448</v>
      </c>
      <c r="H5" s="191"/>
      <c r="I5" s="189"/>
    </row>
    <row r="6" spans="1:9" ht="19.5" customHeight="1">
      <c r="A6" s="290"/>
      <c r="B6" s="297"/>
      <c r="C6" s="102" t="s">
        <v>190</v>
      </c>
      <c r="D6" s="103" t="s">
        <v>139</v>
      </c>
      <c r="E6" s="102">
        <v>610</v>
      </c>
      <c r="F6" s="191">
        <v>360</v>
      </c>
      <c r="G6" s="190">
        <v>448</v>
      </c>
      <c r="H6" s="191"/>
      <c r="I6" s="110"/>
    </row>
    <row r="7" spans="1:9" ht="19.5" customHeight="1">
      <c r="A7" s="290"/>
      <c r="B7" s="297"/>
      <c r="C7" s="102" t="s">
        <v>191</v>
      </c>
      <c r="D7" s="103" t="s">
        <v>139</v>
      </c>
      <c r="E7" s="102">
        <v>80</v>
      </c>
      <c r="F7" s="191">
        <v>360</v>
      </c>
      <c r="G7" s="190">
        <v>448</v>
      </c>
      <c r="H7" s="191"/>
      <c r="I7" s="110"/>
    </row>
    <row r="8" spans="1:9" ht="19.5" customHeight="1">
      <c r="A8" s="290"/>
      <c r="B8" s="297"/>
      <c r="C8" s="102" t="s">
        <v>192</v>
      </c>
      <c r="D8" s="103" t="s">
        <v>139</v>
      </c>
      <c r="E8" s="102">
        <v>25</v>
      </c>
      <c r="F8" s="191">
        <v>360</v>
      </c>
      <c r="G8" s="190">
        <v>448</v>
      </c>
      <c r="H8" s="191"/>
      <c r="I8" s="110"/>
    </row>
    <row r="9" spans="1:9" ht="19.5" customHeight="1">
      <c r="A9" s="290"/>
      <c r="B9" s="297"/>
      <c r="C9" s="102" t="s">
        <v>193</v>
      </c>
      <c r="D9" s="103" t="s">
        <v>139</v>
      </c>
      <c r="E9" s="102">
        <v>150</v>
      </c>
      <c r="F9" s="191">
        <v>360</v>
      </c>
      <c r="G9" s="190">
        <v>448</v>
      </c>
      <c r="H9" s="191"/>
      <c r="I9" s="110"/>
    </row>
    <row r="10" spans="1:9" ht="19.5" customHeight="1">
      <c r="A10" s="290"/>
      <c r="B10" s="298"/>
      <c r="C10" s="102" t="s">
        <v>194</v>
      </c>
      <c r="D10" s="103" t="s">
        <v>139</v>
      </c>
      <c r="E10" s="102">
        <v>680</v>
      </c>
      <c r="F10" s="191">
        <v>360</v>
      </c>
      <c r="G10" s="190">
        <v>448</v>
      </c>
      <c r="H10" s="191"/>
      <c r="I10" s="110"/>
    </row>
    <row r="11" spans="1:9" ht="19.5" customHeight="1">
      <c r="A11" s="290"/>
      <c r="B11" s="102" t="s">
        <v>79</v>
      </c>
      <c r="C11" s="102" t="s">
        <v>74</v>
      </c>
      <c r="D11" s="103" t="s">
        <v>140</v>
      </c>
      <c r="E11" s="102">
        <v>40</v>
      </c>
      <c r="F11" s="191">
        <v>360</v>
      </c>
      <c r="G11" s="190">
        <v>448</v>
      </c>
      <c r="H11" s="191"/>
      <c r="I11" s="110"/>
    </row>
    <row r="12" spans="1:9" ht="19.5" customHeight="1">
      <c r="A12" s="290"/>
      <c r="B12" s="293" t="s">
        <v>145</v>
      </c>
      <c r="C12" s="102" t="s">
        <v>195</v>
      </c>
      <c r="D12" s="103" t="s">
        <v>141</v>
      </c>
      <c r="E12" s="102">
        <v>300000</v>
      </c>
      <c r="F12" s="191">
        <v>360</v>
      </c>
      <c r="G12" s="190">
        <v>448</v>
      </c>
      <c r="H12" s="191"/>
      <c r="I12" s="110"/>
    </row>
    <row r="13" spans="1:9" ht="19.5" customHeight="1">
      <c r="A13" s="290"/>
      <c r="B13" s="297"/>
      <c r="C13" s="102" t="s">
        <v>196</v>
      </c>
      <c r="D13" s="103" t="s">
        <v>141</v>
      </c>
      <c r="E13" s="102">
        <v>170000</v>
      </c>
      <c r="F13" s="191">
        <v>360</v>
      </c>
      <c r="G13" s="190">
        <v>448</v>
      </c>
      <c r="H13" s="191"/>
      <c r="I13" s="110"/>
    </row>
    <row r="14" spans="1:9" ht="19.5" customHeight="1">
      <c r="A14" s="290"/>
      <c r="B14" s="297"/>
      <c r="C14" s="102" t="s">
        <v>197</v>
      </c>
      <c r="D14" s="103" t="s">
        <v>141</v>
      </c>
      <c r="E14" s="102">
        <v>100000</v>
      </c>
      <c r="F14" s="191">
        <v>360</v>
      </c>
      <c r="G14" s="190">
        <v>448</v>
      </c>
      <c r="H14" s="191"/>
      <c r="I14" s="110"/>
    </row>
    <row r="15" spans="1:9" ht="19.5" customHeight="1">
      <c r="A15" s="290"/>
      <c r="B15" s="297"/>
      <c r="C15" s="102" t="s">
        <v>198</v>
      </c>
      <c r="D15" s="103" t="s">
        <v>141</v>
      </c>
      <c r="E15" s="102">
        <v>50000</v>
      </c>
      <c r="F15" s="191">
        <v>360</v>
      </c>
      <c r="G15" s="190">
        <v>448</v>
      </c>
      <c r="H15" s="191"/>
      <c r="I15" s="110"/>
    </row>
    <row r="16" spans="1:9" ht="19.5" customHeight="1">
      <c r="A16" s="290"/>
      <c r="B16" s="298"/>
      <c r="C16" s="102" t="s">
        <v>199</v>
      </c>
      <c r="D16" s="103" t="s">
        <v>141</v>
      </c>
      <c r="E16" s="102">
        <v>25000</v>
      </c>
      <c r="F16" s="191">
        <v>360</v>
      </c>
      <c r="G16" s="190">
        <v>448</v>
      </c>
      <c r="H16" s="191"/>
      <c r="I16" s="110"/>
    </row>
    <row r="17" spans="1:9" ht="19.5" customHeight="1">
      <c r="A17" s="290"/>
      <c r="B17" s="102" t="s">
        <v>156</v>
      </c>
      <c r="C17" s="102" t="s">
        <v>157</v>
      </c>
      <c r="D17" s="103" t="s">
        <v>158</v>
      </c>
      <c r="E17" s="102">
        <v>800</v>
      </c>
      <c r="F17" s="191">
        <v>360</v>
      </c>
      <c r="G17" s="190">
        <v>448</v>
      </c>
      <c r="H17" s="191"/>
      <c r="I17" s="110"/>
    </row>
    <row r="18" spans="1:9" ht="19.5" customHeight="1">
      <c r="A18" s="290"/>
      <c r="B18" s="102" t="s">
        <v>159</v>
      </c>
      <c r="C18" s="126" t="s">
        <v>23</v>
      </c>
      <c r="D18" s="103" t="s">
        <v>158</v>
      </c>
      <c r="E18" s="142">
        <v>3260</v>
      </c>
      <c r="F18" s="227">
        <v>343</v>
      </c>
      <c r="G18" s="227"/>
      <c r="H18" s="104"/>
      <c r="I18" s="110"/>
    </row>
    <row r="19" spans="1:9" ht="19.5" customHeight="1">
      <c r="A19" s="290"/>
      <c r="B19" s="102" t="s">
        <v>160</v>
      </c>
      <c r="C19" s="126" t="s">
        <v>25</v>
      </c>
      <c r="D19" s="127" t="s">
        <v>161</v>
      </c>
      <c r="E19" s="142">
        <v>150</v>
      </c>
      <c r="F19" s="227">
        <v>343</v>
      </c>
      <c r="G19" s="227"/>
      <c r="H19" s="104"/>
      <c r="I19" s="110"/>
    </row>
    <row r="20" spans="1:9" ht="19.5" customHeight="1">
      <c r="A20" s="290"/>
      <c r="B20" s="102" t="s">
        <v>162</v>
      </c>
      <c r="C20" s="126" t="s">
        <v>163</v>
      </c>
      <c r="D20" s="103" t="s">
        <v>158</v>
      </c>
      <c r="E20" s="142">
        <v>1000</v>
      </c>
      <c r="F20" s="227">
        <v>343</v>
      </c>
      <c r="G20" s="227"/>
      <c r="H20" s="104"/>
      <c r="I20" s="110"/>
    </row>
    <row r="21" spans="1:9" ht="19.5" customHeight="1">
      <c r="A21" s="290"/>
      <c r="B21" s="102" t="s">
        <v>164</v>
      </c>
      <c r="C21" s="126" t="s">
        <v>165</v>
      </c>
      <c r="D21" s="103" t="s">
        <v>166</v>
      </c>
      <c r="E21" s="142">
        <v>450</v>
      </c>
      <c r="F21" s="227">
        <v>347</v>
      </c>
      <c r="G21" s="227"/>
      <c r="H21" s="104"/>
      <c r="I21" s="110"/>
    </row>
    <row r="22" spans="1:9" ht="19.5" customHeight="1">
      <c r="A22" s="290"/>
      <c r="B22" s="102" t="s">
        <v>167</v>
      </c>
      <c r="C22" s="126" t="s">
        <v>168</v>
      </c>
      <c r="D22" s="103" t="s">
        <v>166</v>
      </c>
      <c r="E22" s="142">
        <v>400</v>
      </c>
      <c r="F22" s="227">
        <v>347</v>
      </c>
      <c r="G22" s="227"/>
      <c r="H22" s="104"/>
      <c r="I22" s="110"/>
    </row>
    <row r="23" spans="1:9" ht="19.5" customHeight="1">
      <c r="A23" s="290"/>
      <c r="B23" s="102" t="s">
        <v>169</v>
      </c>
      <c r="C23" s="126" t="s">
        <v>170</v>
      </c>
      <c r="D23" s="103" t="s">
        <v>166</v>
      </c>
      <c r="E23" s="142">
        <v>200</v>
      </c>
      <c r="F23" s="227">
        <v>347</v>
      </c>
      <c r="G23" s="227"/>
      <c r="H23" s="104"/>
      <c r="I23" s="110"/>
    </row>
    <row r="24" spans="1:9" ht="19.5" customHeight="1">
      <c r="A24" s="291"/>
      <c r="B24" s="200" t="s">
        <v>171</v>
      </c>
      <c r="C24" s="184" t="s">
        <v>218</v>
      </c>
      <c r="D24" s="185" t="s">
        <v>172</v>
      </c>
      <c r="E24" s="186">
        <v>1454</v>
      </c>
      <c r="F24" s="187"/>
      <c r="G24" s="187"/>
      <c r="H24" s="187"/>
      <c r="I24" s="200"/>
    </row>
    <row r="25" spans="1:9" ht="19.5" customHeight="1">
      <c r="A25" s="151"/>
      <c r="B25" s="153"/>
      <c r="C25" s="153"/>
      <c r="D25" s="153"/>
      <c r="E25" s="180"/>
      <c r="F25" s="152"/>
      <c r="G25" s="152"/>
      <c r="H25" s="181"/>
      <c r="I25" s="154"/>
    </row>
    <row r="26" spans="1:9" ht="19.5" customHeight="1">
      <c r="A26" s="302" t="s">
        <v>173</v>
      </c>
      <c r="B26" s="303"/>
      <c r="C26" s="304"/>
      <c r="D26" s="308"/>
      <c r="E26" s="308"/>
      <c r="F26" s="105" t="s">
        <v>174</v>
      </c>
      <c r="G26" s="105" t="s">
        <v>175</v>
      </c>
      <c r="H26" s="105" t="s">
        <v>176</v>
      </c>
      <c r="I26" s="308"/>
    </row>
    <row r="27" spans="1:9" ht="19.5" customHeight="1">
      <c r="A27" s="305"/>
      <c r="B27" s="306"/>
      <c r="C27" s="307"/>
      <c r="D27" s="309"/>
      <c r="E27" s="309"/>
      <c r="F27" s="106"/>
      <c r="G27" s="106"/>
      <c r="H27" s="106"/>
      <c r="I27" s="310"/>
    </row>
    <row r="28" spans="1:9" ht="19.5" customHeight="1">
      <c r="A28" s="299"/>
      <c r="B28" s="300"/>
      <c r="C28" s="300"/>
      <c r="D28" s="300"/>
      <c r="E28" s="300"/>
      <c r="F28" s="300"/>
      <c r="G28" s="300"/>
      <c r="H28" s="300"/>
      <c r="I28" s="301"/>
    </row>
    <row r="29" spans="1:9" ht="27">
      <c r="A29" s="302" t="s">
        <v>177</v>
      </c>
      <c r="B29" s="303"/>
      <c r="C29" s="304"/>
      <c r="D29" s="308"/>
      <c r="E29" s="308"/>
      <c r="F29" s="141" t="s">
        <v>223</v>
      </c>
      <c r="G29" s="141" t="s">
        <v>224</v>
      </c>
      <c r="H29" s="141" t="s">
        <v>225</v>
      </c>
      <c r="I29" s="308"/>
    </row>
    <row r="30" spans="1:9" ht="19.5" customHeight="1">
      <c r="A30" s="305"/>
      <c r="B30" s="306"/>
      <c r="C30" s="307"/>
      <c r="D30" s="309"/>
      <c r="E30" s="309"/>
      <c r="F30" s="188"/>
      <c r="G30" s="106" t="s">
        <v>226</v>
      </c>
      <c r="H30" s="106" t="s">
        <v>227</v>
      </c>
      <c r="I30" s="310"/>
    </row>
    <row r="31" spans="6:8" ht="19.5" customHeight="1">
      <c r="F31" s="107"/>
      <c r="G31" s="107"/>
      <c r="H31" s="107"/>
    </row>
    <row r="32" spans="6:8" ht="19.5" customHeight="1">
      <c r="F32" s="107"/>
      <c r="G32" s="107"/>
      <c r="H32" s="107"/>
    </row>
    <row r="33" spans="6:8" ht="19.5" customHeight="1">
      <c r="F33" s="107"/>
      <c r="G33" s="107"/>
      <c r="H33" s="107"/>
    </row>
    <row r="34" spans="6:8" ht="19.5" customHeight="1">
      <c r="F34" s="107"/>
      <c r="G34" s="107"/>
      <c r="H34" s="107"/>
    </row>
    <row r="35" spans="6:8" ht="19.5" customHeight="1">
      <c r="F35" s="107"/>
      <c r="G35" s="107"/>
      <c r="H35" s="107"/>
    </row>
    <row r="36" spans="6:8" ht="19.5" customHeight="1">
      <c r="F36" s="107"/>
      <c r="G36" s="107"/>
      <c r="H36" s="107"/>
    </row>
    <row r="37" spans="6:8" ht="19.5" customHeight="1">
      <c r="F37" s="107"/>
      <c r="G37" s="107"/>
      <c r="H37" s="107"/>
    </row>
    <row r="38" spans="6:8" ht="19.5" customHeight="1">
      <c r="F38" s="107"/>
      <c r="G38" s="107"/>
      <c r="H38" s="107"/>
    </row>
    <row r="39" spans="6:8" ht="19.5" customHeight="1">
      <c r="F39" s="107"/>
      <c r="G39" s="107"/>
      <c r="H39" s="107"/>
    </row>
    <row r="40" spans="6:8" ht="19.5" customHeight="1">
      <c r="F40" s="107"/>
      <c r="G40" s="107"/>
      <c r="H40" s="107"/>
    </row>
    <row r="41" spans="6:8" ht="19.5" customHeight="1">
      <c r="F41" s="107"/>
      <c r="G41" s="107"/>
      <c r="H41" s="107"/>
    </row>
    <row r="42" spans="6:8" ht="19.5" customHeight="1">
      <c r="F42" s="107"/>
      <c r="G42" s="107"/>
      <c r="H42" s="107"/>
    </row>
    <row r="43" spans="6:8" ht="19.5" customHeight="1">
      <c r="F43" s="107"/>
      <c r="G43" s="107"/>
      <c r="H43" s="107"/>
    </row>
    <row r="44" spans="6:8" ht="19.5" customHeight="1">
      <c r="F44" s="107"/>
      <c r="G44" s="107"/>
      <c r="H44" s="107"/>
    </row>
    <row r="45" spans="6:8" ht="19.5" customHeight="1">
      <c r="F45" s="107"/>
      <c r="G45" s="107"/>
      <c r="H45" s="107"/>
    </row>
    <row r="46" spans="6:8" ht="19.5" customHeight="1">
      <c r="F46" s="107"/>
      <c r="G46" s="107"/>
      <c r="H46" s="107"/>
    </row>
    <row r="47" spans="6:8" ht="19.5" customHeight="1">
      <c r="F47" s="107"/>
      <c r="G47" s="107"/>
      <c r="H47" s="107"/>
    </row>
    <row r="48" spans="6:8" ht="19.5" customHeight="1">
      <c r="F48" s="111"/>
      <c r="G48" s="111"/>
      <c r="H48" s="111"/>
    </row>
    <row r="49" spans="6:8" ht="19.5" customHeight="1">
      <c r="F49" s="111"/>
      <c r="G49" s="111"/>
      <c r="H49" s="111"/>
    </row>
    <row r="50" spans="6:8" ht="19.5" customHeight="1">
      <c r="F50" s="111"/>
      <c r="G50" s="111"/>
      <c r="H50" s="111"/>
    </row>
    <row r="51" spans="6:8" ht="19.5" customHeight="1">
      <c r="F51" s="111"/>
      <c r="G51" s="111"/>
      <c r="H51" s="111"/>
    </row>
    <row r="52" spans="6:8" ht="19.5" customHeight="1">
      <c r="F52" s="111"/>
      <c r="G52" s="111"/>
      <c r="H52" s="111"/>
    </row>
    <row r="53" spans="6:8" ht="19.5" customHeight="1">
      <c r="F53" s="111"/>
      <c r="G53" s="111"/>
      <c r="H53" s="111"/>
    </row>
    <row r="54" spans="6:8" ht="19.5" customHeight="1">
      <c r="F54" s="111"/>
      <c r="G54" s="111"/>
      <c r="H54" s="111"/>
    </row>
    <row r="55" spans="6:8" ht="19.5" customHeight="1">
      <c r="F55" s="111"/>
      <c r="G55" s="111"/>
      <c r="H55" s="111"/>
    </row>
    <row r="56" spans="6:8" ht="19.5" customHeight="1">
      <c r="F56" s="111"/>
      <c r="G56" s="111"/>
      <c r="H56" s="111"/>
    </row>
    <row r="57" spans="6:8" ht="19.5" customHeight="1">
      <c r="F57" s="111"/>
      <c r="G57" s="111"/>
      <c r="H57" s="111"/>
    </row>
    <row r="58" spans="6:8" ht="19.5" customHeight="1">
      <c r="F58" s="111"/>
      <c r="G58" s="111"/>
      <c r="H58" s="111"/>
    </row>
    <row r="59" spans="6:8" ht="19.5" customHeight="1">
      <c r="F59" s="111"/>
      <c r="G59" s="111"/>
      <c r="H59" s="111"/>
    </row>
    <row r="60" spans="6:8" ht="19.5" customHeight="1">
      <c r="F60" s="111"/>
      <c r="G60" s="111"/>
      <c r="H60" s="111"/>
    </row>
    <row r="61" spans="6:8" ht="19.5" customHeight="1">
      <c r="F61" s="111"/>
      <c r="G61" s="111"/>
      <c r="H61" s="111"/>
    </row>
    <row r="62" spans="6:8" ht="19.5" customHeight="1">
      <c r="F62" s="111"/>
      <c r="G62" s="111"/>
      <c r="H62" s="111"/>
    </row>
    <row r="63" spans="6:8" ht="19.5" customHeight="1">
      <c r="F63" s="111"/>
      <c r="G63" s="111"/>
      <c r="H63" s="111"/>
    </row>
    <row r="64" spans="6:8" ht="19.5" customHeight="1">
      <c r="F64" s="111"/>
      <c r="G64" s="111"/>
      <c r="H64" s="111"/>
    </row>
    <row r="65" spans="6:8" ht="19.5" customHeight="1">
      <c r="F65" s="111"/>
      <c r="G65" s="111"/>
      <c r="H65" s="111"/>
    </row>
    <row r="66" spans="6:8" ht="19.5" customHeight="1">
      <c r="F66" s="111"/>
      <c r="G66" s="111"/>
      <c r="H66" s="111"/>
    </row>
    <row r="67" spans="6:8" ht="19.5" customHeight="1">
      <c r="F67" s="111"/>
      <c r="G67" s="111"/>
      <c r="H67" s="111"/>
    </row>
    <row r="68" spans="6:8" ht="19.5" customHeight="1">
      <c r="F68" s="111"/>
      <c r="G68" s="111"/>
      <c r="H68" s="111"/>
    </row>
    <row r="69" spans="6:8" ht="19.5" customHeight="1">
      <c r="F69" s="111"/>
      <c r="G69" s="111"/>
      <c r="H69" s="111"/>
    </row>
    <row r="70" spans="6:8" ht="19.5" customHeight="1">
      <c r="F70" s="111"/>
      <c r="G70" s="111"/>
      <c r="H70" s="111"/>
    </row>
    <row r="71" spans="6:8" ht="19.5" customHeight="1">
      <c r="F71" s="111"/>
      <c r="G71" s="111"/>
      <c r="H71" s="111"/>
    </row>
    <row r="72" spans="6:8" ht="19.5" customHeight="1">
      <c r="F72" s="111"/>
      <c r="G72" s="111"/>
      <c r="H72" s="111"/>
    </row>
    <row r="73" spans="6:8" ht="19.5" customHeight="1">
      <c r="F73" s="111"/>
      <c r="G73" s="111"/>
      <c r="H73" s="111"/>
    </row>
    <row r="74" spans="6:8" ht="19.5" customHeight="1">
      <c r="F74" s="111"/>
      <c r="G74" s="111"/>
      <c r="H74" s="111"/>
    </row>
    <row r="75" spans="6:8" ht="19.5" customHeight="1">
      <c r="F75" s="111"/>
      <c r="G75" s="111"/>
      <c r="H75" s="111"/>
    </row>
    <row r="76" spans="6:8" ht="19.5" customHeight="1">
      <c r="F76" s="111"/>
      <c r="G76" s="111"/>
      <c r="H76" s="111"/>
    </row>
    <row r="77" spans="6:8" ht="19.5" customHeight="1">
      <c r="F77" s="111"/>
      <c r="G77" s="111"/>
      <c r="H77" s="111"/>
    </row>
  </sheetData>
  <sheetProtection/>
  <mergeCells count="19">
    <mergeCell ref="A28:I28"/>
    <mergeCell ref="A29:C30"/>
    <mergeCell ref="D29:D30"/>
    <mergeCell ref="E29:E30"/>
    <mergeCell ref="I29:I30"/>
    <mergeCell ref="A26:C27"/>
    <mergeCell ref="D26:D27"/>
    <mergeCell ref="E26:E27"/>
    <mergeCell ref="I26:I27"/>
    <mergeCell ref="A5:A24"/>
    <mergeCell ref="I3:I4"/>
    <mergeCell ref="A3:A4"/>
    <mergeCell ref="B3:B4"/>
    <mergeCell ref="C3:C4"/>
    <mergeCell ref="D3:D4"/>
    <mergeCell ref="E3:E4"/>
    <mergeCell ref="F3:H3"/>
    <mergeCell ref="B12:B16"/>
    <mergeCell ref="B5:B10"/>
  </mergeCells>
  <printOptions/>
  <pageMargins left="0.43" right="0.16" top="0.7480314960629921" bottom="0.35433070866141736" header="0.5118110236220472" footer="0.0787401574803149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green</cp:lastModifiedBy>
  <cp:lastPrinted>2014-03-17T02:19:10Z</cp:lastPrinted>
  <dcterms:created xsi:type="dcterms:W3CDTF">1998-11-14T00:44:27Z</dcterms:created>
  <dcterms:modified xsi:type="dcterms:W3CDTF">2014-03-17T02:19:38Z</dcterms:modified>
  <cp:category/>
  <cp:version/>
  <cp:contentType/>
  <cp:contentStatus/>
</cp:coreProperties>
</file>